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95.xml" ContentType="application/vnd.openxmlformats-officedocument.spreadsheetml.revisionLog+xml"/>
  <Override PartName="/xl/revisions/revisionLog100.xml" ContentType="application/vnd.openxmlformats-officedocument.spreadsheetml.revisionLog+xml"/>
  <Override PartName="/xl/revisions/revisionLog130.xml" ContentType="application/vnd.openxmlformats-officedocument.spreadsheetml.revisionLog+xml"/>
  <Override PartName="/xl/revisions/revisionLog122.xml" ContentType="application/vnd.openxmlformats-officedocument.spreadsheetml.revisionLog+xml"/>
  <Override PartName="/xl/revisions/revisionLog117.xml" ContentType="application/vnd.openxmlformats-officedocument.spreadsheetml.revisionLog+xml"/>
  <Override PartName="/xl/revisions/revisionLog108.xml" ContentType="application/vnd.openxmlformats-officedocument.spreadsheetml.revisionLog+xml"/>
  <Override PartName="/xl/revisions/revisionLog125.xml" ContentType="application/vnd.openxmlformats-officedocument.spreadsheetml.revisionLog+xml"/>
  <Override PartName="/xl/revisions/revisionLog121.xml" ContentType="application/vnd.openxmlformats-officedocument.spreadsheetml.revisionLog+xml"/>
  <Override PartName="/xl/revisions/revisionLog112.xml" ContentType="application/vnd.openxmlformats-officedocument.spreadsheetml.revisionLog+xml"/>
  <Override PartName="/xl/revisions/revisionLog104.xml" ContentType="application/vnd.openxmlformats-officedocument.spreadsheetml.revisionLog+xml"/>
  <Override PartName="/xl/revisions/revisionLog99.xml" ContentType="application/vnd.openxmlformats-officedocument.spreadsheetml.revisionLog+xml"/>
  <Override PartName="/xl/revisions/revisionLog91.xml" ContentType="application/vnd.openxmlformats-officedocument.spreadsheetml.revisionLog+xml"/>
  <Override PartName="/xl/revisions/revisionLog4.xml" ContentType="application/vnd.openxmlformats-officedocument.spreadsheetml.revisionLog+xml"/>
  <Override PartName="/xl/revisions/revisionLog116.xml" ContentType="application/vnd.openxmlformats-officedocument.spreadsheetml.revisionLog+xml"/>
  <Override PartName="/xl/revisions/revisionLog129.xml" ContentType="application/vnd.openxmlformats-officedocument.spreadsheetml.revisionLog+xml"/>
  <Override PartName="/xl/revisions/revisionLog107.xml" ContentType="application/vnd.openxmlformats-officedocument.spreadsheetml.revisionLog+xml"/>
  <Override PartName="/xl/revisions/revisionLog98.xml" ContentType="application/vnd.openxmlformats-officedocument.spreadsheetml.revisionLog+xml"/>
  <Override PartName="/xl/revisions/revisionLog103.xml" ContentType="application/vnd.openxmlformats-officedocument.spreadsheetml.revisionLog+xml"/>
  <Override PartName="/xl/revisions/revisionLog90.xml" ContentType="application/vnd.openxmlformats-officedocument.spreadsheetml.revisionLog+xml"/>
  <Override PartName="/xl/revisions/revisionLog106.xml" ContentType="application/vnd.openxmlformats-officedocument.spreadsheetml.revisionLog+xml"/>
  <Override PartName="/xl/revisions/revisionLog111.xml" ContentType="application/vnd.openxmlformats-officedocument.spreadsheetml.revisionLog+xml"/>
  <Override PartName="/xl/revisions/revisionLog120.xml" ContentType="application/vnd.openxmlformats-officedocument.spreadsheetml.revisionLog+xml"/>
  <Override PartName="/xl/revisions/revisionLog3.xml" ContentType="application/vnd.openxmlformats-officedocument.spreadsheetml.revisionLog+xml"/>
  <Override PartName="/xl/revisions/revisionLog128.xml" ContentType="application/vnd.openxmlformats-officedocument.spreadsheetml.revisionLog+xml"/>
  <Override PartName="/xl/revisions/revisionLog115.xml" ContentType="application/vnd.openxmlformats-officedocument.spreadsheetml.revisionLog+xml"/>
  <Override PartName="/xl/revisions/revisionLog124.xml" ContentType="application/vnd.openxmlformats-officedocument.spreadsheetml.revisionLog+xml"/>
  <Override PartName="/xl/revisions/revisionLog102.xml" ContentType="application/vnd.openxmlformats-officedocument.spreadsheetml.revisionLog+xml"/>
  <Override PartName="/xl/revisions/revisionLog94.xml" ContentType="application/vnd.openxmlformats-officedocument.spreadsheetml.revisionLog+xml"/>
  <Override PartName="/xl/revisions/revisionLog89.xml" ContentType="application/vnd.openxmlformats-officedocument.spreadsheetml.revisionLog+xml"/>
  <Override PartName="/xl/revisions/revisionLog119.xml" ContentType="application/vnd.openxmlformats-officedocument.spreadsheetml.revisionLog+xml"/>
  <Override PartName="/xl/revisions/revisionLog127.xml" ContentType="application/vnd.openxmlformats-officedocument.spreadsheetml.revisionLog+xml"/>
  <Override PartName="/xl/revisions/revisionLog110.xml" ContentType="application/vnd.openxmlformats-officedocument.spreadsheetml.revisionLog+xml"/>
  <Override PartName="/xl/revisions/revisionLog97.xml" ContentType="application/vnd.openxmlformats-officedocument.spreadsheetml.revisionLog+xml"/>
  <Override PartName="/xl/revisions/revisionLog105.xml" ContentType="application/vnd.openxmlformats-officedocument.spreadsheetml.revisionLog+xml"/>
  <Override PartName="/xl/revisions/revisionLog2.xml" ContentType="application/vnd.openxmlformats-officedocument.spreadsheetml.revisionLog+xml"/>
  <Override PartName="/xl/revisions/revisionLog123.xml" ContentType="application/vnd.openxmlformats-officedocument.spreadsheetml.revisionLog+xml"/>
  <Override PartName="/xl/revisions/revisionLog114.xml" ContentType="application/vnd.openxmlformats-officedocument.spreadsheetml.revisionLog+xml"/>
  <Override PartName="/xl/revisions/revisionLog109.xml" ContentType="application/vnd.openxmlformats-officedocument.spreadsheetml.revisionLog+xml"/>
  <Override PartName="/xl/revisions/revisionLog101.xml" ContentType="application/vnd.openxmlformats-officedocument.spreadsheetml.revisionLog+xml"/>
  <Override PartName="/xl/revisions/revisionLog96.xml" ContentType="application/vnd.openxmlformats-officedocument.spreadsheetml.revisionLog+xml"/>
  <Override PartName="/xl/revisions/revisionLog93.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126.xml" ContentType="application/vnd.openxmlformats-officedocument.spreadsheetml.revisionLog+xml"/>
  <Override PartName="/xl/revisions/revisionLog118.xml" ContentType="application/vnd.openxmlformats-officedocument.spreadsheetml.revisionLog+xml"/>
  <Override PartName="/xl/revisions/revisionLog113.xml" ContentType="application/vnd.openxmlformats-officedocument.spreadsheetml.revisionLog+xml"/>
  <Override PartName="/xl/revisions/revisionLog9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0" windowWidth="15570" windowHeight="10680" firstSheet="1" activeTab="1"/>
  </bookViews>
  <sheets>
    <sheet name="на 01.07." sheetId="1" state="hidden" r:id="rId1"/>
    <sheet name="Лист1" sheetId="2" r:id="rId2"/>
    <sheet name="Лист2" sheetId="3" r:id="rId3"/>
    <sheet name="Лист3" sheetId="4" r:id="rId4"/>
  </sheets>
  <definedNames>
    <definedName name="_xlnm._FilterDatabase" localSheetId="1" hidden="1">Лист1!$C$141:$M$175</definedName>
    <definedName name="Z_10B69522_62AE_4313_859A_9E4F497E803C_.wvu.Cols" localSheetId="1" hidden="1">Лист1!$A:$B,Лист1!$F:$F,Лист1!$O:$O</definedName>
    <definedName name="Z_10B69522_62AE_4313_859A_9E4F497E803C_.wvu.Cols" localSheetId="0" hidden="1">'на 01.07.'!$A:$B,'на 01.07.'!$F:$F</definedName>
    <definedName name="Z_10B69522_62AE_4313_859A_9E4F497E803C_.wvu.PrintArea" localSheetId="0" hidden="1">'на 01.07.'!$A$4:$L$175</definedName>
    <definedName name="Z_10B69522_62AE_4313_859A_9E4F497E803C_.wvu.PrintTitles" localSheetId="1" hidden="1">Лист1!$5:$7</definedName>
    <definedName name="Z_10B69522_62AE_4313_859A_9E4F497E803C_.wvu.PrintTitles" localSheetId="0" hidden="1">'на 01.07.'!$4:$6</definedName>
    <definedName name="Z_10B69522_62AE_4313_859A_9E4F497E803C_.wvu.Rows" localSheetId="1" hidden="1">Лист1!#REF!,Лист1!#REF!,Лист1!#REF!,Лист1!#REF!</definedName>
    <definedName name="Z_59B1F92E_3080_4B3C_AB43_7CBA0A8FFB6D_.wvu.Cols" localSheetId="1" hidden="1">Лист1!$A:$B,Лист1!$F:$F</definedName>
    <definedName name="Z_59B1F92E_3080_4B3C_AB43_7CBA0A8FFB6D_.wvu.Cols" localSheetId="0" hidden="1">'на 01.07.'!$A:$B,'на 01.07.'!$F:$F</definedName>
    <definedName name="Z_59B1F92E_3080_4B3C_AB43_7CBA0A8FFB6D_.wvu.PrintArea" localSheetId="1" hidden="1">Лист1!$C$1:$M$175</definedName>
    <definedName name="Z_59B1F92E_3080_4B3C_AB43_7CBA0A8FFB6D_.wvu.PrintArea" localSheetId="0" hidden="1">'на 01.07.'!$A$4:$L$175</definedName>
    <definedName name="Z_59B1F92E_3080_4B3C_AB43_7CBA0A8FFB6D_.wvu.PrintTitles" localSheetId="1" hidden="1">Лист1!$5:$7</definedName>
    <definedName name="Z_59B1F92E_3080_4B3C_AB43_7CBA0A8FFB6D_.wvu.PrintTitles" localSheetId="0" hidden="1">'на 01.07.'!$4:$6</definedName>
    <definedName name="Z_5BFBE340_7A77_4A81_BD8D_F4A5E4682C7D_.wvu.Cols" localSheetId="1" hidden="1">Лист1!$A:$B,Лист1!$F:$F</definedName>
    <definedName name="Z_5BFBE340_7A77_4A81_BD8D_F4A5E4682C7D_.wvu.Cols" localSheetId="0" hidden="1">'на 01.07.'!$A:$B,'на 01.07.'!$F:$F</definedName>
    <definedName name="Z_5BFBE340_7A77_4A81_BD8D_F4A5E4682C7D_.wvu.PrintArea" localSheetId="1" hidden="1">Лист1!$C$1:$M$175</definedName>
    <definedName name="Z_5BFBE340_7A77_4A81_BD8D_F4A5E4682C7D_.wvu.PrintArea" localSheetId="0" hidden="1">'на 01.07.'!$A$4:$L$175</definedName>
    <definedName name="Z_5BFBE340_7A77_4A81_BD8D_F4A5E4682C7D_.wvu.PrintTitles" localSheetId="1" hidden="1">Лист1!$5:$7</definedName>
    <definedName name="Z_5BFBE340_7A77_4A81_BD8D_F4A5E4682C7D_.wvu.PrintTitles" localSheetId="0" hidden="1">'на 01.07.'!$4:$6</definedName>
    <definedName name="Z_5BFBE340_7A77_4A81_BD8D_F4A5E4682C7D_.wvu.Rows" localSheetId="1" hidden="1">Лист1!$55:$55,Лист1!#REF!,Лист1!$97:$97,Лист1!$142:$142,Лист1!#REF!,Лист1!#REF!,Лист1!$168:$169</definedName>
    <definedName name="Z_65685584_75D0_4A51_AE28_5C7D20707FBD_.wvu.Cols" localSheetId="1" hidden="1">Лист1!$A:$B,Лист1!$F:$F,Лист1!$N:$N</definedName>
    <definedName name="Z_65685584_75D0_4A51_AE28_5C7D20707FBD_.wvu.Cols" localSheetId="0" hidden="1">'на 01.07.'!$A:$B,'на 01.07.'!$F:$F</definedName>
    <definedName name="Z_65685584_75D0_4A51_AE28_5C7D20707FBD_.wvu.FilterData" localSheetId="1" hidden="1">Лист1!$C$141:$M$175</definedName>
    <definedName name="Z_65685584_75D0_4A51_AE28_5C7D20707FBD_.wvu.PrintArea" localSheetId="1" hidden="1">Лист1!$C$1:$M$175</definedName>
    <definedName name="Z_65685584_75D0_4A51_AE28_5C7D20707FBD_.wvu.PrintArea" localSheetId="0" hidden="1">'на 01.07.'!$A$4:$L$175</definedName>
    <definedName name="Z_65685584_75D0_4A51_AE28_5C7D20707FBD_.wvu.PrintTitles" localSheetId="1" hidden="1">Лист1!$5:$7</definedName>
    <definedName name="Z_65685584_75D0_4A51_AE28_5C7D20707FBD_.wvu.PrintTitles" localSheetId="0" hidden="1">'на 01.07.'!$4:$6</definedName>
    <definedName name="Z_65685584_75D0_4A51_AE28_5C7D20707FBD_.wvu.Rows" localSheetId="1" hidden="1">Лист1!$104:$104,Лист1!$106:$107,Лист1!$109:$109,Лист1!$125:$125,Лист1!$127:$127,Лист1!$133:$133</definedName>
    <definedName name="Z_7BFFC2A3_0F28_4D31_9AD3_1E3078AA223D_.wvu.Cols" localSheetId="1" hidden="1">Лист1!$A:$B,Лист1!$F:$F,Лист1!$N:$N</definedName>
    <definedName name="Z_7BFFC2A3_0F28_4D31_9AD3_1E3078AA223D_.wvu.Cols" localSheetId="0" hidden="1">'на 01.07.'!$A:$B,'на 01.07.'!$F:$F</definedName>
    <definedName name="Z_7BFFC2A3_0F28_4D31_9AD3_1E3078AA223D_.wvu.FilterData" localSheetId="1" hidden="1">Лист1!$C$7:$M$175</definedName>
    <definedName name="Z_7BFFC2A3_0F28_4D31_9AD3_1E3078AA223D_.wvu.PrintArea" localSheetId="1" hidden="1">Лист1!$C$1:$M$175</definedName>
    <definedName name="Z_7BFFC2A3_0F28_4D31_9AD3_1E3078AA223D_.wvu.PrintArea" localSheetId="0" hidden="1">'на 01.07.'!$A$4:$L$175</definedName>
    <definedName name="Z_7BFFC2A3_0F28_4D31_9AD3_1E3078AA223D_.wvu.PrintTitles" localSheetId="1" hidden="1">Лист1!$5:$7</definedName>
    <definedName name="Z_7BFFC2A3_0F28_4D31_9AD3_1E3078AA223D_.wvu.PrintTitles" localSheetId="0" hidden="1">'на 01.07.'!$4:$6</definedName>
    <definedName name="Z_AB892BF4_7159_4365_ABCF_F353B99C910F_.wvu.Cols" localSheetId="1" hidden="1">Лист1!$A:$B,Лист1!$F:$F</definedName>
    <definedName name="Z_AB892BF4_7159_4365_ABCF_F353B99C910F_.wvu.Cols" localSheetId="0" hidden="1">'на 01.07.'!$A:$B,'на 01.07.'!$F:$F</definedName>
    <definedName name="Z_AB892BF4_7159_4365_ABCF_F353B99C910F_.wvu.PrintArea" localSheetId="1" hidden="1">Лист1!$C$1:$M$175</definedName>
    <definedName name="Z_AB892BF4_7159_4365_ABCF_F353B99C910F_.wvu.PrintArea" localSheetId="0" hidden="1">'на 01.07.'!$A$4:$L$175</definedName>
    <definedName name="Z_AB892BF4_7159_4365_ABCF_F353B99C910F_.wvu.PrintTitles" localSheetId="1" hidden="1">Лист1!$5:$7</definedName>
    <definedName name="Z_AB892BF4_7159_4365_ABCF_F353B99C910F_.wvu.PrintTitles" localSheetId="0" hidden="1">'на 01.07.'!$4:$6</definedName>
    <definedName name="Z_AB892BF4_7159_4365_ABCF_F353B99C910F_.wvu.Rows" localSheetId="1" hidden="1">Лист1!$55:$55,Лист1!$142:$142,Лист1!#REF!,Лист1!#REF!</definedName>
    <definedName name="_xlnm.Print_Titles" localSheetId="1">Лист1!$5:$7</definedName>
    <definedName name="_xlnm.Print_Titles" localSheetId="0">'на 01.07.'!$4:$6</definedName>
    <definedName name="_xlnm.Print_Area" localSheetId="1">Лист1!$C$1:$M$175</definedName>
    <definedName name="_xlnm.Print_Area" localSheetId="0">'на 01.07.'!$A$4:$L$175</definedName>
  </definedNames>
  <calcPr calcId="145621"/>
  <customWorkbookViews>
    <customWorkbookView name="dohod - Личное представление" guid="{65685584-75D0-4A51-AE28-5C7D20707FBD}" mergeInterval="0" personalView="1" maximized="1" windowWidth="1916" windowHeight="834" activeSheetId="2"/>
    <customWorkbookView name="Зыкова Светалана - Личное представление" guid="{7BFFC2A3-0F28-4D31-9AD3-1E3078AA223D}" mergeInterval="0" personalView="1" maximized="1" windowWidth="1916" windowHeight="855" activeSheetId="2"/>
    <customWorkbookView name="Наталья Гудимова - Личное представление" guid="{5BFBE340-7A77-4A81-BD8D-F4A5E4682C7D}" mergeInterval="0" personalView="1" maximized="1" windowWidth="1772" windowHeight="607" activeSheetId="2"/>
    <customWorkbookView name="Нина Борисова - Личное представление" guid="{AB892BF4-7159-4365-ABCF-F353B99C910F}" mergeInterval="0" personalView="1" maximized="1" windowWidth="1916" windowHeight="814" activeSheetId="2"/>
    <customWorkbookView name="Величко Наталья Владимировна - Личное представление" guid="{59B1F92E-3080-4B3C-AB43-7CBA0A8FFB6D}" mergeInterval="0" personalView="1" maximized="1" windowWidth="1916" windowHeight="695" activeSheetId="2"/>
    <customWorkbookView name="Бурнашова Елена Борисовна - Личное представление" guid="{10B69522-62AE-4313-859A-9E4F497E803C}" mergeInterval="0" personalView="1" maximized="1" windowWidth="1916" windowHeight="855" activeSheetId="2"/>
  </customWorkbookViews>
</workbook>
</file>

<file path=xl/calcChain.xml><?xml version="1.0" encoding="utf-8"?>
<calcChain xmlns="http://schemas.openxmlformats.org/spreadsheetml/2006/main">
  <c r="M102" i="2" l="1"/>
  <c r="L102" i="2"/>
  <c r="K102" i="2"/>
  <c r="I102" i="2"/>
  <c r="M121" i="2"/>
  <c r="L121" i="2"/>
  <c r="K121" i="2"/>
  <c r="I121" i="2"/>
  <c r="H121" i="2"/>
  <c r="G121" i="2"/>
  <c r="I32" i="2" l="1"/>
  <c r="M115" i="2" l="1"/>
  <c r="L115" i="2"/>
  <c r="K115" i="2"/>
  <c r="M88" i="2" l="1"/>
  <c r="L88" i="2"/>
  <c r="K88" i="2"/>
  <c r="M89" i="2"/>
  <c r="L89" i="2"/>
  <c r="K89" i="2"/>
  <c r="I89" i="2"/>
  <c r="M73" i="2"/>
  <c r="L73" i="2"/>
  <c r="K73" i="2"/>
  <c r="M100" i="2"/>
  <c r="L100" i="2"/>
  <c r="K100" i="2"/>
  <c r="M68" i="2"/>
  <c r="L68" i="2"/>
  <c r="K68" i="2"/>
  <c r="M64" i="2"/>
  <c r="L64" i="2"/>
  <c r="L63" i="2" s="1"/>
  <c r="M65" i="2"/>
  <c r="L65" i="2"/>
  <c r="K65" i="2"/>
  <c r="I65" i="2"/>
  <c r="M63" i="2"/>
  <c r="K63" i="2"/>
  <c r="I63" i="2"/>
  <c r="L48" i="2"/>
  <c r="M41" i="2"/>
  <c r="M40" i="2" s="1"/>
  <c r="L41" i="2"/>
  <c r="K41" i="2"/>
  <c r="K40" i="2" s="1"/>
  <c r="L40" i="2"/>
  <c r="I40" i="2"/>
  <c r="M31" i="2"/>
  <c r="L31" i="2"/>
  <c r="K31" i="2"/>
  <c r="M24" i="2"/>
  <c r="L24" i="2"/>
  <c r="K24" i="2"/>
  <c r="M12" i="2"/>
  <c r="L12" i="2"/>
  <c r="K12" i="2"/>
  <c r="M71" i="2"/>
  <c r="L71" i="2"/>
  <c r="K71" i="2"/>
  <c r="I71" i="2"/>
  <c r="H71" i="2"/>
  <c r="J157" i="2"/>
  <c r="M154" i="2"/>
  <c r="L154" i="2"/>
  <c r="K154" i="2"/>
  <c r="M152" i="2"/>
  <c r="L152" i="2"/>
  <c r="K152" i="2"/>
  <c r="K47" i="2"/>
  <c r="H89" i="2" l="1"/>
  <c r="G89" i="2"/>
  <c r="J90" i="2"/>
  <c r="J92" i="2"/>
  <c r="J91" i="2"/>
  <c r="I87" i="2"/>
  <c r="H87" i="2"/>
  <c r="G87" i="2"/>
  <c r="G71" i="2"/>
  <c r="J72" i="2"/>
  <c r="G86" i="2" l="1"/>
  <c r="H86" i="2"/>
  <c r="J87" i="2"/>
  <c r="H40" i="2"/>
  <c r="G40" i="2"/>
  <c r="J41" i="2"/>
  <c r="H172" i="2"/>
  <c r="H11" i="2"/>
  <c r="H10" i="2" s="1"/>
  <c r="H137" i="2"/>
  <c r="J174" i="2"/>
  <c r="J173" i="2"/>
  <c r="J122" i="2"/>
  <c r="J20" i="2"/>
  <c r="J27" i="2"/>
  <c r="J25" i="2"/>
  <c r="J21" i="2"/>
  <c r="J19" i="2"/>
  <c r="J18" i="2"/>
  <c r="J17" i="2"/>
  <c r="J16" i="2"/>
  <c r="J15" i="2"/>
  <c r="J14" i="2"/>
  <c r="J13" i="2"/>
  <c r="I11" i="2"/>
  <c r="I10" i="2" s="1"/>
  <c r="H102" i="2"/>
  <c r="H118" i="2"/>
  <c r="H126" i="2"/>
  <c r="H153" i="2"/>
  <c r="H159" i="2"/>
  <c r="G159" i="2"/>
  <c r="G126" i="2"/>
  <c r="G102" i="2"/>
  <c r="J73" i="2"/>
  <c r="J71" i="2" s="1"/>
  <c r="H101" i="2" l="1"/>
  <c r="G69" i="2"/>
  <c r="G67" i="2"/>
  <c r="G65" i="2"/>
  <c r="G63" i="2"/>
  <c r="G61" i="2"/>
  <c r="H69" i="2"/>
  <c r="I69" i="2"/>
  <c r="K69" i="2"/>
  <c r="L69" i="2"/>
  <c r="M69" i="2"/>
  <c r="H65" i="2"/>
  <c r="H63" i="2"/>
  <c r="M11" i="2"/>
  <c r="L11" i="2"/>
  <c r="K11" i="2"/>
  <c r="G11" i="2"/>
  <c r="J150" i="2"/>
  <c r="J110" i="2"/>
  <c r="J106" i="2"/>
  <c r="J105" i="2"/>
  <c r="J103" i="2"/>
  <c r="J108" i="2"/>
  <c r="G60" i="2" l="1"/>
  <c r="J11" i="2"/>
  <c r="M74" i="2" l="1"/>
  <c r="L74" i="2"/>
  <c r="K74" i="2"/>
  <c r="I74" i="2"/>
  <c r="H74" i="2"/>
  <c r="G74" i="2"/>
  <c r="J79" i="2"/>
  <c r="J78" i="2"/>
  <c r="J75" i="2"/>
  <c r="J76" i="2"/>
  <c r="J175" i="2" l="1"/>
  <c r="J172" i="2" s="1"/>
  <c r="J171" i="2"/>
  <c r="J170" i="2" s="1"/>
  <c r="J169" i="2"/>
  <c r="J167" i="2"/>
  <c r="J166" i="2" s="1"/>
  <c r="J165" i="2"/>
  <c r="J164" i="2" s="1"/>
  <c r="J163" i="2"/>
  <c r="J162" i="2"/>
  <c r="J161" i="2"/>
  <c r="J160" i="2"/>
  <c r="J158" i="2"/>
  <c r="J156" i="2"/>
  <c r="J155" i="2"/>
  <c r="J154" i="2"/>
  <c r="J152" i="2"/>
  <c r="J151" i="2"/>
  <c r="J149" i="2"/>
  <c r="J148" i="2"/>
  <c r="J147" i="2"/>
  <c r="J146" i="2"/>
  <c r="J145" i="2"/>
  <c r="J144" i="2"/>
  <c r="J143" i="2"/>
  <c r="J142" i="2"/>
  <c r="J140" i="2"/>
  <c r="J139" i="2"/>
  <c r="J138" i="2"/>
  <c r="J134" i="2"/>
  <c r="J133" i="2"/>
  <c r="J131" i="2"/>
  <c r="J130" i="2" s="1"/>
  <c r="J128" i="2"/>
  <c r="J126" i="2" s="1"/>
  <c r="J127" i="2"/>
  <c r="J125" i="2"/>
  <c r="J124" i="2"/>
  <c r="J123" i="2"/>
  <c r="J120" i="2"/>
  <c r="J119" i="2"/>
  <c r="J117" i="2"/>
  <c r="J116" i="2"/>
  <c r="J115" i="2"/>
  <c r="J114" i="2"/>
  <c r="J113" i="2"/>
  <c r="J112" i="2"/>
  <c r="J111" i="2"/>
  <c r="J109" i="2"/>
  <c r="J107" i="2"/>
  <c r="J104" i="2"/>
  <c r="J100" i="2"/>
  <c r="J99" i="2" s="1"/>
  <c r="J98" i="2" s="1"/>
  <c r="J97" i="2"/>
  <c r="J96" i="2"/>
  <c r="J88" i="2"/>
  <c r="J85" i="2"/>
  <c r="J84" i="2" s="1"/>
  <c r="J83" i="2" s="1"/>
  <c r="J81" i="2"/>
  <c r="J80" i="2"/>
  <c r="J77" i="2"/>
  <c r="J70" i="2"/>
  <c r="J69" i="2" s="1"/>
  <c r="J68" i="2"/>
  <c r="J67" i="2" s="1"/>
  <c r="J66" i="2"/>
  <c r="J65" i="2" s="1"/>
  <c r="J64" i="2"/>
  <c r="J63" i="2" s="1"/>
  <c r="J62" i="2"/>
  <c r="J61" i="2" s="1"/>
  <c r="J59" i="2"/>
  <c r="J58" i="2" s="1"/>
  <c r="J57" i="2" s="1"/>
  <c r="J56" i="2"/>
  <c r="J55" i="2"/>
  <c r="J53" i="2"/>
  <c r="J52" i="2" s="1"/>
  <c r="J50" i="2"/>
  <c r="J49" i="2" s="1"/>
  <c r="J48" i="2"/>
  <c r="J47" i="2" s="1"/>
  <c r="J45" i="2"/>
  <c r="J44" i="2" s="1"/>
  <c r="J42" i="2"/>
  <c r="J40" i="2" s="1"/>
  <c r="J39" i="2"/>
  <c r="J38" i="2" s="1"/>
  <c r="J37" i="2"/>
  <c r="J36" i="2" s="1"/>
  <c r="J35" i="2"/>
  <c r="J33" i="2"/>
  <c r="J31" i="2"/>
  <c r="J26" i="2"/>
  <c r="J24" i="2"/>
  <c r="J12" i="2"/>
  <c r="J121" i="2" l="1"/>
  <c r="J102" i="2"/>
  <c r="J118" i="2"/>
  <c r="J132" i="2"/>
  <c r="J129" i="2" s="1"/>
  <c r="J54" i="2"/>
  <c r="J51" i="2" s="1"/>
  <c r="J74" i="2"/>
  <c r="J95" i="2"/>
  <c r="J94" i="2" s="1"/>
  <c r="J137" i="2"/>
  <c r="J10" i="2"/>
  <c r="J159" i="2"/>
  <c r="J153" i="2"/>
  <c r="J141" i="2"/>
  <c r="J46" i="2"/>
  <c r="J43" i="2" s="1"/>
  <c r="J136" i="2" l="1"/>
  <c r="H132" i="2"/>
  <c r="H67" i="2" l="1"/>
  <c r="I132" i="2" l="1"/>
  <c r="J93" i="2"/>
  <c r="J89" i="2" s="1"/>
  <c r="I30" i="2" l="1"/>
  <c r="H141" i="2"/>
  <c r="H136" i="2" s="1"/>
  <c r="I166" i="2"/>
  <c r="K166" i="2"/>
  <c r="L166" i="2"/>
  <c r="M166" i="2"/>
  <c r="G166" i="2"/>
  <c r="H166" i="2"/>
  <c r="I172" i="2"/>
  <c r="K172" i="2"/>
  <c r="L172" i="2"/>
  <c r="M172" i="2"/>
  <c r="G172" i="2"/>
  <c r="H170" i="2"/>
  <c r="I170" i="2"/>
  <c r="K170" i="2"/>
  <c r="L170" i="2"/>
  <c r="M170" i="2"/>
  <c r="G170" i="2"/>
  <c r="H164" i="2"/>
  <c r="I164" i="2"/>
  <c r="I159" i="2" s="1"/>
  <c r="K164" i="2"/>
  <c r="K159" i="2" s="1"/>
  <c r="L164" i="2"/>
  <c r="L159" i="2" s="1"/>
  <c r="M164" i="2"/>
  <c r="M159" i="2" s="1"/>
  <c r="G164" i="2"/>
  <c r="L47" i="2" l="1"/>
  <c r="L87" i="2" l="1"/>
  <c r="L86" i="2" s="1"/>
  <c r="M87" i="2"/>
  <c r="M86" i="2" s="1"/>
  <c r="K87" i="2"/>
  <c r="K86" i="2" s="1"/>
  <c r="I141" i="2"/>
  <c r="K141" i="2"/>
  <c r="I58" i="2" l="1"/>
  <c r="L118" i="2" l="1"/>
  <c r="M34" i="2"/>
  <c r="L34" i="2"/>
  <c r="K34" i="2"/>
  <c r="I34" i="2"/>
  <c r="H34" i="2"/>
  <c r="G34" i="2"/>
  <c r="J34" i="2" l="1"/>
  <c r="I95" i="2"/>
  <c r="I86" i="2" s="1"/>
  <c r="J86" i="2" s="1"/>
  <c r="J82" i="2" s="1"/>
  <c r="H168" i="2" l="1"/>
  <c r="G168" i="2"/>
  <c r="J168" i="2" s="1"/>
  <c r="J135" i="2" s="1"/>
  <c r="M118" i="2"/>
  <c r="K118" i="2"/>
  <c r="I118" i="2"/>
  <c r="G118" i="2"/>
  <c r="G95" i="2" l="1"/>
  <c r="H95" i="2"/>
  <c r="M32" i="2" l="1"/>
  <c r="L32" i="2"/>
  <c r="K61" i="2" l="1"/>
  <c r="M47" i="2"/>
  <c r="M126" i="2" l="1"/>
  <c r="L126" i="2"/>
  <c r="K126" i="2"/>
  <c r="I126" i="2"/>
  <c r="I101" i="2" s="1"/>
  <c r="G101" i="2"/>
  <c r="M101" i="2" l="1"/>
  <c r="L101" i="2"/>
  <c r="K101" i="2"/>
  <c r="J101" i="2"/>
  <c r="M137" i="2" l="1"/>
  <c r="L137" i="2"/>
  <c r="K137" i="2"/>
  <c r="I137" i="2"/>
  <c r="M132" i="2"/>
  <c r="L132" i="2"/>
  <c r="K132" i="2"/>
  <c r="G132" i="2"/>
  <c r="M58" i="2"/>
  <c r="M57" i="2" s="1"/>
  <c r="L58" i="2"/>
  <c r="L57" i="2" s="1"/>
  <c r="K58" i="2"/>
  <c r="K57" i="2" s="1"/>
  <c r="I57" i="2"/>
  <c r="H58" i="2"/>
  <c r="H57" i="2" s="1"/>
  <c r="G58" i="2"/>
  <c r="G57" i="2" s="1"/>
  <c r="M10" i="2" l="1"/>
  <c r="L10" i="2"/>
  <c r="K10" i="2"/>
  <c r="G10" i="2"/>
  <c r="I54" i="2" l="1"/>
  <c r="I51" i="2" s="1"/>
  <c r="M36" i="2"/>
  <c r="L36" i="2"/>
  <c r="K36" i="2"/>
  <c r="I36" i="2"/>
  <c r="H36" i="2"/>
  <c r="G36" i="2"/>
  <c r="G141" i="2"/>
  <c r="M54" i="2"/>
  <c r="L54" i="2"/>
  <c r="K54" i="2"/>
  <c r="H54" i="2"/>
  <c r="G153" i="2"/>
  <c r="G136" i="2" l="1"/>
  <c r="G135" i="2"/>
  <c r="K99" i="2"/>
  <c r="L99" i="2"/>
  <c r="M99" i="2"/>
  <c r="M95" i="2"/>
  <c r="L95" i="2"/>
  <c r="K95" i="2"/>
  <c r="K67" i="2"/>
  <c r="K60" i="2" s="1"/>
  <c r="L67" i="2"/>
  <c r="M67" i="2"/>
  <c r="L61" i="2"/>
  <c r="M61" i="2"/>
  <c r="L60" i="2" l="1"/>
  <c r="M60" i="2"/>
  <c r="G38" i="2"/>
  <c r="K32" i="2"/>
  <c r="H32" i="2"/>
  <c r="G32" i="2"/>
  <c r="J32" i="2" s="1"/>
  <c r="M30" i="2"/>
  <c r="M29" i="2" s="1"/>
  <c r="L30" i="2"/>
  <c r="L29" i="2" s="1"/>
  <c r="K30" i="2"/>
  <c r="H30" i="2"/>
  <c r="G30" i="2"/>
  <c r="J30" i="2" s="1"/>
  <c r="G23" i="2"/>
  <c r="M84" i="2"/>
  <c r="M83" i="2" s="1"/>
  <c r="M82" i="2" s="1"/>
  <c r="L84" i="2"/>
  <c r="L83" i="2" s="1"/>
  <c r="L82" i="2" s="1"/>
  <c r="K84" i="2"/>
  <c r="K83" i="2" s="1"/>
  <c r="K82" i="2" s="1"/>
  <c r="I84" i="2"/>
  <c r="I83" i="2" s="1"/>
  <c r="I82" i="2" s="1"/>
  <c r="H130" i="2"/>
  <c r="H29" i="2" l="1"/>
  <c r="J29" i="2"/>
  <c r="J28" i="2" s="1"/>
  <c r="I29" i="2"/>
  <c r="K29" i="2"/>
  <c r="M49" i="2"/>
  <c r="L49" i="2"/>
  <c r="K49" i="2"/>
  <c r="I49" i="2"/>
  <c r="H49" i="2"/>
  <c r="G49" i="2"/>
  <c r="I47" i="2"/>
  <c r="H47" i="2"/>
  <c r="G47" i="2"/>
  <c r="M44" i="2"/>
  <c r="L44" i="2"/>
  <c r="K44" i="2"/>
  <c r="I44" i="2"/>
  <c r="H44" i="2"/>
  <c r="G44" i="2"/>
  <c r="I38" i="2"/>
  <c r="H38" i="2"/>
  <c r="H28" i="2" s="1"/>
  <c r="M38" i="2"/>
  <c r="L38" i="2"/>
  <c r="K38" i="2"/>
  <c r="G29" i="2"/>
  <c r="M23" i="2"/>
  <c r="L23" i="2"/>
  <c r="K23" i="2"/>
  <c r="I23" i="2"/>
  <c r="J23" i="2" s="1"/>
  <c r="J22" i="2" s="1"/>
  <c r="H23" i="2"/>
  <c r="G28" i="2" l="1"/>
  <c r="G46" i="2"/>
  <c r="G43" i="2" s="1"/>
  <c r="M28" i="2"/>
  <c r="I28" i="2"/>
  <c r="K28" i="2"/>
  <c r="H129" i="2"/>
  <c r="M130" i="2"/>
  <c r="L130" i="2"/>
  <c r="K130" i="2"/>
  <c r="I130" i="2"/>
  <c r="I129" i="2" s="1"/>
  <c r="G130" i="2"/>
  <c r="M98" i="2"/>
  <c r="M94" i="2" s="1"/>
  <c r="L98" i="2"/>
  <c r="L94" i="2" s="1"/>
  <c r="K98" i="2"/>
  <c r="K94" i="2" s="1"/>
  <c r="I99" i="2"/>
  <c r="I98" i="2" s="1"/>
  <c r="I94" i="2" s="1"/>
  <c r="H99" i="2"/>
  <c r="H98" i="2" s="1"/>
  <c r="H94" i="2" s="1"/>
  <c r="G99" i="2"/>
  <c r="G98" i="2" s="1"/>
  <c r="G94" i="2" s="1"/>
  <c r="H84" i="2"/>
  <c r="H83" i="2" s="1"/>
  <c r="H82" i="2" s="1"/>
  <c r="G84" i="2"/>
  <c r="G83" i="2" s="1"/>
  <c r="G82" i="2" s="1"/>
  <c r="I67" i="2"/>
  <c r="I61" i="2"/>
  <c r="H61" i="2"/>
  <c r="M46" i="2"/>
  <c r="M43" i="2" s="1"/>
  <c r="L46" i="2"/>
  <c r="L43" i="2" s="1"/>
  <c r="K46" i="2"/>
  <c r="K43" i="2" s="1"/>
  <c r="I46" i="2"/>
  <c r="I43" i="2" s="1"/>
  <c r="H46" i="2"/>
  <c r="H43" i="2" s="1"/>
  <c r="L28" i="2"/>
  <c r="M22" i="2"/>
  <c r="L22" i="2"/>
  <c r="K22" i="2"/>
  <c r="I22" i="2"/>
  <c r="I60" i="2" l="1"/>
  <c r="J60" i="2" s="1"/>
  <c r="J9" i="2" s="1"/>
  <c r="J8" i="2" s="1"/>
  <c r="H60" i="2"/>
  <c r="G51" i="2"/>
  <c r="L51" i="2"/>
  <c r="H51" i="2"/>
  <c r="M51" i="2"/>
  <c r="K51" i="2"/>
  <c r="H22" i="2"/>
  <c r="G22" i="2"/>
  <c r="K129" i="2"/>
  <c r="G129" i="2"/>
  <c r="L129" i="2"/>
  <c r="M129" i="2"/>
  <c r="I9" i="2" l="1"/>
  <c r="H9" i="2"/>
  <c r="G9" i="2"/>
  <c r="K9" i="2"/>
  <c r="M9" i="2"/>
  <c r="L9" i="2"/>
  <c r="L141" i="2" l="1"/>
  <c r="H135" i="2"/>
  <c r="H8" i="2" s="1"/>
  <c r="I153" i="2"/>
  <c r="I135" i="2" s="1"/>
  <c r="I8" i="2" s="1"/>
  <c r="K153" i="2"/>
  <c r="K135" i="2" s="1"/>
  <c r="L153" i="2"/>
  <c r="M153" i="2"/>
  <c r="M141" i="2"/>
  <c r="M135" i="2" l="1"/>
  <c r="M8" i="2" s="1"/>
  <c r="L135" i="2"/>
  <c r="L8" i="2" s="1"/>
  <c r="I136" i="2"/>
  <c r="M136" i="2"/>
  <c r="K136" i="2"/>
  <c r="K8" i="2"/>
  <c r="L136" i="2"/>
  <c r="I88" i="1" l="1"/>
  <c r="G88" i="1"/>
  <c r="H149" i="1"/>
  <c r="H148" i="1" s="1"/>
  <c r="I146" i="1"/>
  <c r="H140" i="1"/>
  <c r="I140" i="1"/>
  <c r="J140" i="1"/>
  <c r="K140" i="1"/>
  <c r="L140" i="1"/>
  <c r="H152" i="1"/>
  <c r="I152" i="1"/>
  <c r="J152" i="1"/>
  <c r="K152" i="1"/>
  <c r="L152" i="1"/>
  <c r="G152" i="1"/>
  <c r="I149" i="1"/>
  <c r="I148" i="1" s="1"/>
  <c r="J149" i="1"/>
  <c r="J148" i="1" s="1"/>
  <c r="K149" i="1"/>
  <c r="K148" i="1" s="1"/>
  <c r="L149" i="1"/>
  <c r="L148" i="1" s="1"/>
  <c r="G149" i="1"/>
  <c r="G148" i="1" s="1"/>
  <c r="H146" i="1"/>
  <c r="J146" i="1"/>
  <c r="K146" i="1"/>
  <c r="L146" i="1"/>
  <c r="G146" i="1"/>
  <c r="G140" i="1"/>
  <c r="H142" i="1"/>
  <c r="I142" i="1"/>
  <c r="J142" i="1"/>
  <c r="K142" i="1"/>
  <c r="L142" i="1"/>
  <c r="G142" i="1"/>
  <c r="H144" i="1"/>
  <c r="I144" i="1"/>
  <c r="J144" i="1"/>
  <c r="K144" i="1"/>
  <c r="L144" i="1"/>
  <c r="G144" i="1"/>
  <c r="G137" i="1"/>
  <c r="G136" i="1" s="1"/>
  <c r="I137" i="1"/>
  <c r="I136" i="1" s="1"/>
  <c r="J137" i="1"/>
  <c r="J136" i="1" s="1"/>
  <c r="K137" i="1"/>
  <c r="K136" i="1" s="1"/>
  <c r="L137" i="1"/>
  <c r="L136" i="1" s="1"/>
  <c r="H137" i="1"/>
  <c r="H136" i="1" s="1"/>
  <c r="H133" i="1"/>
  <c r="I133" i="1"/>
  <c r="J133" i="1"/>
  <c r="K133" i="1"/>
  <c r="L133" i="1"/>
  <c r="G133" i="1"/>
  <c r="H132" i="1"/>
  <c r="I132" i="1"/>
  <c r="J132" i="1"/>
  <c r="K132" i="1"/>
  <c r="L132" i="1"/>
  <c r="G132" i="1"/>
  <c r="L131" i="1" l="1"/>
  <c r="L130" i="1" s="1"/>
  <c r="H131" i="1"/>
  <c r="H130" i="1" s="1"/>
  <c r="G131" i="1"/>
  <c r="G130" i="1" s="1"/>
  <c r="I131" i="1"/>
  <c r="I130" i="1" s="1"/>
  <c r="J131" i="1"/>
  <c r="J130" i="1" s="1"/>
  <c r="K131" i="1"/>
  <c r="K130" i="1" s="1"/>
  <c r="I129" i="1" l="1"/>
  <c r="G128" i="1"/>
  <c r="H128" i="1"/>
  <c r="J128" i="1"/>
  <c r="K128" i="1"/>
  <c r="L128" i="1"/>
  <c r="H126" i="1"/>
  <c r="H125" i="1" s="1"/>
  <c r="I126" i="1"/>
  <c r="I125" i="1" s="1"/>
  <c r="J126" i="1"/>
  <c r="K126" i="1"/>
  <c r="L126" i="1"/>
  <c r="G126" i="1"/>
  <c r="G125" i="1" s="1"/>
  <c r="H123" i="1"/>
  <c r="J123" i="1"/>
  <c r="K123" i="1"/>
  <c r="L123" i="1"/>
  <c r="G123" i="1"/>
  <c r="H121" i="1"/>
  <c r="I121" i="1"/>
  <c r="I118" i="1" s="1"/>
  <c r="J121" i="1"/>
  <c r="K121" i="1"/>
  <c r="L121" i="1"/>
  <c r="G121" i="1"/>
  <c r="H113" i="1"/>
  <c r="H112" i="1" s="1"/>
  <c r="I113" i="1"/>
  <c r="I112" i="1" s="1"/>
  <c r="J113" i="1"/>
  <c r="J112" i="1" s="1"/>
  <c r="K113" i="1"/>
  <c r="K112" i="1" s="1"/>
  <c r="L113" i="1"/>
  <c r="L112" i="1" s="1"/>
  <c r="G113" i="1"/>
  <c r="G112" i="1" s="1"/>
  <c r="H110" i="1"/>
  <c r="I110" i="1"/>
  <c r="J110" i="1"/>
  <c r="K110" i="1"/>
  <c r="L110" i="1"/>
  <c r="G110" i="1"/>
  <c r="H108" i="1"/>
  <c r="I108" i="1"/>
  <c r="J108" i="1"/>
  <c r="K108" i="1"/>
  <c r="L108" i="1"/>
  <c r="G108" i="1"/>
  <c r="H105" i="1"/>
  <c r="I105" i="1"/>
  <c r="J105" i="1"/>
  <c r="K105" i="1"/>
  <c r="L105" i="1"/>
  <c r="G105" i="1"/>
  <c r="H97" i="1"/>
  <c r="I97" i="1"/>
  <c r="J97" i="1"/>
  <c r="K97" i="1"/>
  <c r="L97" i="1"/>
  <c r="G97" i="1"/>
  <c r="H94" i="1"/>
  <c r="H93" i="1" s="1"/>
  <c r="I94" i="1"/>
  <c r="I93" i="1" s="1"/>
  <c r="J94" i="1"/>
  <c r="J93" i="1" s="1"/>
  <c r="K94" i="1"/>
  <c r="K93" i="1" s="1"/>
  <c r="L94" i="1"/>
  <c r="L93" i="1" s="1"/>
  <c r="G94" i="1"/>
  <c r="G93" i="1" s="1"/>
  <c r="I91" i="1"/>
  <c r="I90" i="1" s="1"/>
  <c r="L125" i="1" l="1"/>
  <c r="I104" i="1"/>
  <c r="I96" i="1" s="1"/>
  <c r="L104" i="1"/>
  <c r="L96" i="1" s="1"/>
  <c r="J104" i="1"/>
  <c r="J96" i="1" s="1"/>
  <c r="G118" i="1"/>
  <c r="G117" i="1" s="1"/>
  <c r="K118" i="1"/>
  <c r="J125" i="1"/>
  <c r="L118" i="1"/>
  <c r="H118" i="1"/>
  <c r="H117" i="1" s="1"/>
  <c r="J118" i="1"/>
  <c r="K125" i="1"/>
  <c r="G104" i="1"/>
  <c r="G96" i="1" s="1"/>
  <c r="H104" i="1"/>
  <c r="H96" i="1" s="1"/>
  <c r="K104" i="1"/>
  <c r="K96" i="1" s="1"/>
  <c r="L117" i="1" l="1"/>
  <c r="J117" i="1"/>
  <c r="K117" i="1"/>
  <c r="I117" i="1"/>
  <c r="H71" i="1" l="1"/>
  <c r="G60" i="1" l="1"/>
  <c r="H66" i="1"/>
  <c r="H60" i="1"/>
  <c r="H35" i="1"/>
  <c r="I35" i="1"/>
  <c r="J35" i="1"/>
  <c r="K35" i="1"/>
  <c r="L35" i="1"/>
  <c r="G35" i="1"/>
  <c r="H13" i="1"/>
  <c r="H160" i="1" l="1"/>
  <c r="H159" i="1" s="1"/>
  <c r="I160" i="1"/>
  <c r="I159" i="1" s="1"/>
  <c r="J160" i="1"/>
  <c r="J159" i="1" s="1"/>
  <c r="K160" i="1"/>
  <c r="K159" i="1" s="1"/>
  <c r="L160" i="1"/>
  <c r="L159" i="1" s="1"/>
  <c r="G160" i="1"/>
  <c r="G159" i="1" s="1"/>
  <c r="H163" i="1"/>
  <c r="I163" i="1"/>
  <c r="J163" i="1"/>
  <c r="K163" i="1"/>
  <c r="L163" i="1"/>
  <c r="G163" i="1"/>
  <c r="H165" i="1"/>
  <c r="I165" i="1"/>
  <c r="J165" i="1"/>
  <c r="K165" i="1"/>
  <c r="L165" i="1"/>
  <c r="G165" i="1"/>
  <c r="H167" i="1"/>
  <c r="I167" i="1"/>
  <c r="J167" i="1"/>
  <c r="K167" i="1"/>
  <c r="L167" i="1"/>
  <c r="G167" i="1"/>
  <c r="H169" i="1"/>
  <c r="I169" i="1"/>
  <c r="J169" i="1"/>
  <c r="K169" i="1"/>
  <c r="L169" i="1"/>
  <c r="G169" i="1"/>
  <c r="H172" i="1"/>
  <c r="H171" i="1" s="1"/>
  <c r="I172" i="1"/>
  <c r="J172" i="1"/>
  <c r="K172" i="1"/>
  <c r="L172" i="1"/>
  <c r="G172" i="1"/>
  <c r="I174" i="1"/>
  <c r="J174" i="1"/>
  <c r="K174" i="1"/>
  <c r="L174" i="1"/>
  <c r="G174" i="1"/>
  <c r="J139" i="1" l="1"/>
  <c r="G139" i="1"/>
  <c r="I139" i="1"/>
  <c r="K139" i="1"/>
  <c r="L139" i="1"/>
  <c r="H139" i="1"/>
  <c r="G171" i="1"/>
  <c r="I171" i="1"/>
  <c r="J171" i="1"/>
  <c r="K171" i="1"/>
  <c r="L171" i="1"/>
  <c r="H91" i="1"/>
  <c r="H90" i="1" s="1"/>
  <c r="J91" i="1"/>
  <c r="J90" i="1" s="1"/>
  <c r="K91" i="1"/>
  <c r="K90" i="1" s="1"/>
  <c r="L91" i="1"/>
  <c r="L90" i="1" s="1"/>
  <c r="G91" i="1"/>
  <c r="G90" i="1" s="1"/>
  <c r="H88" i="1"/>
  <c r="J88" i="1"/>
  <c r="K88" i="1"/>
  <c r="L88" i="1"/>
  <c r="H81" i="1"/>
  <c r="I81" i="1"/>
  <c r="J81" i="1"/>
  <c r="K81" i="1"/>
  <c r="L81" i="1"/>
  <c r="G81" i="1"/>
  <c r="H79" i="1"/>
  <c r="I79" i="1"/>
  <c r="J79" i="1"/>
  <c r="K79" i="1"/>
  <c r="L79" i="1"/>
  <c r="G79" i="1"/>
  <c r="H86" i="1"/>
  <c r="I86" i="1"/>
  <c r="J86" i="1"/>
  <c r="K86" i="1"/>
  <c r="L86" i="1"/>
  <c r="G86" i="1"/>
  <c r="H84" i="1"/>
  <c r="H83" i="1" s="1"/>
  <c r="I84" i="1"/>
  <c r="J84" i="1"/>
  <c r="K84" i="1"/>
  <c r="L84" i="1"/>
  <c r="L83" i="1" s="1"/>
  <c r="G84" i="1"/>
  <c r="H54" i="1"/>
  <c r="I54" i="1"/>
  <c r="J54" i="1"/>
  <c r="K54" i="1"/>
  <c r="L54" i="1"/>
  <c r="G54" i="1"/>
  <c r="K69" i="1"/>
  <c r="I60" i="1"/>
  <c r="J60" i="1"/>
  <c r="K60" i="1"/>
  <c r="L60" i="1"/>
  <c r="I66" i="1"/>
  <c r="J66" i="1"/>
  <c r="K66" i="1"/>
  <c r="L66" i="1"/>
  <c r="G66" i="1"/>
  <c r="H69" i="1"/>
  <c r="H57" i="1" s="1"/>
  <c r="I69" i="1"/>
  <c r="J69" i="1"/>
  <c r="L69" i="1"/>
  <c r="G69" i="1"/>
  <c r="I71" i="1"/>
  <c r="J71" i="1"/>
  <c r="K71" i="1"/>
  <c r="L71" i="1"/>
  <c r="G71" i="1"/>
  <c r="G57" i="1" l="1"/>
  <c r="G83" i="1"/>
  <c r="G78" i="1" s="1"/>
  <c r="I83" i="1"/>
  <c r="I78" i="1" s="1"/>
  <c r="I57" i="1"/>
  <c r="I53" i="1" s="1"/>
  <c r="L57" i="1"/>
  <c r="L53" i="1" s="1"/>
  <c r="L78" i="1"/>
  <c r="H78" i="1"/>
  <c r="K57" i="1"/>
  <c r="K53" i="1" s="1"/>
  <c r="K83" i="1"/>
  <c r="K78" i="1" s="1"/>
  <c r="J57" i="1"/>
  <c r="J53" i="1" s="1"/>
  <c r="H53" i="1"/>
  <c r="J83" i="1"/>
  <c r="J78" i="1" s="1"/>
  <c r="H50" i="1"/>
  <c r="I50" i="1"/>
  <c r="J50" i="1"/>
  <c r="K50" i="1"/>
  <c r="L50" i="1"/>
  <c r="G50" i="1"/>
  <c r="H46" i="1"/>
  <c r="I46" i="1"/>
  <c r="J46" i="1"/>
  <c r="K46" i="1"/>
  <c r="L46" i="1"/>
  <c r="G46" i="1"/>
  <c r="H41" i="1"/>
  <c r="I41" i="1"/>
  <c r="J41" i="1"/>
  <c r="K41" i="1"/>
  <c r="L41" i="1"/>
  <c r="G41" i="1"/>
  <c r="H38" i="1"/>
  <c r="I38" i="1"/>
  <c r="J38" i="1"/>
  <c r="K38" i="1"/>
  <c r="L38" i="1"/>
  <c r="G38" i="1"/>
  <c r="H32" i="1"/>
  <c r="I32" i="1"/>
  <c r="J32" i="1"/>
  <c r="K32" i="1"/>
  <c r="L32" i="1"/>
  <c r="G32" i="1"/>
  <c r="H30" i="1"/>
  <c r="I30" i="1"/>
  <c r="J30" i="1"/>
  <c r="K30" i="1"/>
  <c r="L30" i="1"/>
  <c r="G30" i="1"/>
  <c r="H19" i="1"/>
  <c r="H18" i="1" s="1"/>
  <c r="I19" i="1"/>
  <c r="I18" i="1" s="1"/>
  <c r="J19" i="1"/>
  <c r="J18" i="1" s="1"/>
  <c r="K19" i="1"/>
  <c r="K18" i="1" s="1"/>
  <c r="L19" i="1"/>
  <c r="L18" i="1" s="1"/>
  <c r="G19" i="1"/>
  <c r="G18" i="1" s="1"/>
  <c r="I10" i="1"/>
  <c r="H10" i="1"/>
  <c r="J10" i="1"/>
  <c r="K10" i="1"/>
  <c r="L10" i="1"/>
  <c r="H29" i="1" l="1"/>
  <c r="H28" i="1" s="1"/>
  <c r="G45" i="1"/>
  <c r="I45" i="1"/>
  <c r="H45" i="1"/>
  <c r="G53" i="1"/>
  <c r="G37" i="1"/>
  <c r="G29" i="1"/>
  <c r="G28" i="1" s="1"/>
  <c r="I37" i="1"/>
  <c r="H37" i="1"/>
  <c r="J29" i="1"/>
  <c r="J28" i="1" s="1"/>
  <c r="L37" i="1"/>
  <c r="K37" i="1"/>
  <c r="J37" i="1"/>
  <c r="L45" i="1"/>
  <c r="K45" i="1"/>
  <c r="J45" i="1"/>
  <c r="L29" i="1"/>
  <c r="L28" i="1" s="1"/>
  <c r="K29" i="1"/>
  <c r="K28" i="1" s="1"/>
  <c r="I29" i="1"/>
  <c r="I28" i="1" s="1"/>
  <c r="I13" i="1" l="1"/>
  <c r="J13" i="1"/>
  <c r="K13" i="1"/>
  <c r="L13" i="1"/>
  <c r="H9" i="1"/>
  <c r="I9" i="1"/>
  <c r="J9" i="1"/>
  <c r="K9" i="1"/>
  <c r="L9" i="1"/>
  <c r="G13" i="1"/>
  <c r="G10" i="1"/>
  <c r="G9" i="1" s="1"/>
  <c r="G8" i="1" l="1"/>
  <c r="G7" i="1" s="1"/>
  <c r="L8" i="1"/>
  <c r="L7" i="1" s="1"/>
  <c r="H8" i="1"/>
  <c r="H7" i="1" s="1"/>
  <c r="I8" i="1"/>
  <c r="I7" i="1" s="1"/>
  <c r="J8" i="1"/>
  <c r="J7" i="1" s="1"/>
  <c r="K8" i="1"/>
  <c r="K7" i="1" s="1"/>
  <c r="G8" i="2"/>
</calcChain>
</file>

<file path=xl/comments1.xml><?xml version="1.0" encoding="utf-8"?>
<comments xmlns="http://schemas.openxmlformats.org/spreadsheetml/2006/main">
  <authors>
    <author>dohod</author>
  </authors>
  <commentList>
    <comment ref="G73" authorId="0" guid="{451C29C9-1CFD-4DD2-97AA-120D63D8C179}">
      <text>
        <r>
          <rPr>
            <b/>
            <sz val="9"/>
            <color indexed="81"/>
            <rFont val="Tahoma"/>
            <family val="2"/>
            <charset val="204"/>
          </rPr>
          <t>dohod:</t>
        </r>
        <r>
          <rPr>
            <sz val="9"/>
            <color indexed="81"/>
            <rFont val="Tahoma"/>
            <family val="2"/>
            <charset val="204"/>
          </rPr>
          <t xml:space="preserve">
350 000 Агент-во         1 600 000 Адм-я
</t>
        </r>
      </text>
    </comment>
    <comment ref="H73" authorId="0" guid="{FB967E46-F76B-49BA-9298-CF557F1F03FD}">
      <text>
        <r>
          <rPr>
            <b/>
            <sz val="9"/>
            <color indexed="81"/>
            <rFont val="Tahoma"/>
            <family val="2"/>
            <charset val="204"/>
          </rPr>
          <t>dohod:</t>
        </r>
        <r>
          <rPr>
            <sz val="9"/>
            <color indexed="81"/>
            <rFont val="Tahoma"/>
            <family val="2"/>
            <charset val="204"/>
          </rPr>
          <t xml:space="preserve">
904 278,57 Адм-я          279 068,03 Аг-во
</t>
        </r>
      </text>
    </comment>
    <comment ref="I73" authorId="0" guid="{EFABE023-78D5-4189-ACB5-BDCE68F28815}">
      <text>
        <r>
          <rPr>
            <b/>
            <sz val="9"/>
            <color indexed="81"/>
            <rFont val="Tahoma"/>
            <family val="2"/>
            <charset val="204"/>
          </rPr>
          <t>dohod:</t>
        </r>
        <r>
          <rPr>
            <sz val="9"/>
            <color indexed="81"/>
            <rFont val="Tahoma"/>
            <family val="2"/>
            <charset val="204"/>
          </rPr>
          <t xml:space="preserve">
Аг-во 375 000
</t>
        </r>
      </text>
    </comment>
    <comment ref="K73" authorId="0" guid="{D09A0B8F-0A06-4394-9434-6A224147E371}">
      <text>
        <r>
          <rPr>
            <b/>
            <sz val="9"/>
            <color indexed="81"/>
            <rFont val="Tahoma"/>
            <family val="2"/>
            <charset val="204"/>
          </rPr>
          <t>dohod:</t>
        </r>
        <r>
          <rPr>
            <sz val="9"/>
            <color indexed="81"/>
            <rFont val="Tahoma"/>
            <family val="2"/>
            <charset val="204"/>
          </rPr>
          <t xml:space="preserve">
Аг-во 250 000
Гудимова 1600,0
</t>
        </r>
      </text>
    </comment>
    <comment ref="L73" authorId="0" guid="{61E8A68F-429A-4F76-B475-2345C8D7B23F}">
      <text>
        <r>
          <rPr>
            <b/>
            <sz val="9"/>
            <color indexed="81"/>
            <rFont val="Tahoma"/>
            <family val="2"/>
            <charset val="204"/>
          </rPr>
          <t>dohod:</t>
        </r>
        <r>
          <rPr>
            <sz val="9"/>
            <color indexed="81"/>
            <rFont val="Tahoma"/>
            <family val="2"/>
            <charset val="204"/>
          </rPr>
          <t xml:space="preserve">
Аг-во 190 000
Гудимова 1700,0
</t>
        </r>
      </text>
    </comment>
    <comment ref="M73" authorId="0" guid="{C993F0FA-ABC4-4CCD-A19A-97DC39AB8030}">
      <text>
        <r>
          <rPr>
            <b/>
            <sz val="9"/>
            <color indexed="81"/>
            <rFont val="Tahoma"/>
            <family val="2"/>
            <charset val="204"/>
          </rPr>
          <t>dohod:</t>
        </r>
        <r>
          <rPr>
            <sz val="9"/>
            <color indexed="81"/>
            <rFont val="Tahoma"/>
            <family val="2"/>
            <charset val="204"/>
          </rPr>
          <t xml:space="preserve">
Аг-во 120 000
Гудимова 1800,0
</t>
        </r>
      </text>
    </comment>
    <comment ref="G88" authorId="0" guid="{CF9DABC9-3ED9-4B62-AE69-587A9B1F36F7}">
      <text>
        <r>
          <rPr>
            <b/>
            <sz val="9"/>
            <color indexed="81"/>
            <rFont val="Tahoma"/>
            <family val="2"/>
            <charset val="204"/>
          </rPr>
          <t>dohod:</t>
        </r>
        <r>
          <rPr>
            <sz val="9"/>
            <color indexed="81"/>
            <rFont val="Tahoma"/>
            <family val="2"/>
            <charset val="204"/>
          </rPr>
          <t xml:space="preserve">
Адм-я 800 000
Аг-во 5 000 000
</t>
        </r>
      </text>
    </comment>
    <comment ref="H88" authorId="0" guid="{23231D7B-D2E8-412D-8844-E3BE35B5E665}">
      <text>
        <r>
          <rPr>
            <b/>
            <sz val="9"/>
            <color indexed="81"/>
            <rFont val="Tahoma"/>
            <family val="2"/>
            <charset val="204"/>
          </rPr>
          <t>dohod:</t>
        </r>
        <r>
          <rPr>
            <sz val="9"/>
            <color indexed="81"/>
            <rFont val="Tahoma"/>
            <family val="2"/>
            <charset val="204"/>
          </rPr>
          <t xml:space="preserve">
Адм-я 766 039,49    
Аг-во 4 848 074,85</t>
        </r>
      </text>
    </comment>
    <comment ref="I88" authorId="0" guid="{6B791E18-1C7B-4938-8AC0-81DF12266173}">
      <text>
        <r>
          <rPr>
            <b/>
            <sz val="9"/>
            <color indexed="81"/>
            <rFont val="Tahoma"/>
            <family val="2"/>
            <charset val="204"/>
          </rPr>
          <t>dohod:</t>
        </r>
        <r>
          <rPr>
            <sz val="9"/>
            <color indexed="81"/>
            <rFont val="Tahoma"/>
            <family val="2"/>
            <charset val="204"/>
          </rPr>
          <t xml:space="preserve">
Аг-во 6 500 000</t>
        </r>
      </text>
    </comment>
    <comment ref="K88" authorId="0" guid="{DCE6E312-56B4-4DE0-A5F0-659E3844F7A9}">
      <text>
        <r>
          <rPr>
            <b/>
            <sz val="9"/>
            <color indexed="81"/>
            <rFont val="Tahoma"/>
            <family val="2"/>
            <charset val="204"/>
          </rPr>
          <t>dohod:</t>
        </r>
        <r>
          <rPr>
            <sz val="9"/>
            <color indexed="81"/>
            <rFont val="Tahoma"/>
            <family val="2"/>
            <charset val="204"/>
          </rPr>
          <t xml:space="preserve">
Аг-во 7 000 000
Адм-я 1200,0
</t>
        </r>
      </text>
    </comment>
    <comment ref="L88" authorId="0" guid="{F8F2CD88-0885-4930-AD8B-2C695EF25B43}">
      <text>
        <r>
          <rPr>
            <b/>
            <sz val="9"/>
            <color indexed="81"/>
            <rFont val="Tahoma"/>
            <family val="2"/>
            <charset val="204"/>
          </rPr>
          <t>dohod:</t>
        </r>
        <r>
          <rPr>
            <sz val="9"/>
            <color indexed="81"/>
            <rFont val="Tahoma"/>
            <family val="2"/>
            <charset val="204"/>
          </rPr>
          <t xml:space="preserve">
Аг-во 7 500 000</t>
        </r>
        <r>
          <rPr>
            <b/>
            <sz val="9"/>
            <color indexed="81"/>
            <rFont val="Tahoma"/>
            <family val="2"/>
            <charset val="204"/>
          </rPr>
          <t xml:space="preserve">
Адм-я 1300</t>
        </r>
        <r>
          <rPr>
            <sz val="9"/>
            <color indexed="81"/>
            <rFont val="Tahoma"/>
            <family val="2"/>
            <charset val="204"/>
          </rPr>
          <t xml:space="preserve">
</t>
        </r>
      </text>
    </comment>
    <comment ref="M88" authorId="0" guid="{AEF242E6-0377-4EE7-B773-D434940EAFB9}">
      <text>
        <r>
          <rPr>
            <b/>
            <sz val="9"/>
            <color indexed="81"/>
            <rFont val="Tahoma"/>
            <family val="2"/>
            <charset val="204"/>
          </rPr>
          <t>dohod:</t>
        </r>
        <r>
          <rPr>
            <sz val="9"/>
            <color indexed="81"/>
            <rFont val="Tahoma"/>
            <family val="2"/>
            <charset val="204"/>
          </rPr>
          <t xml:space="preserve">
Аг-во 8 000 000
Адм-я 1400
</t>
        </r>
      </text>
    </comment>
    <comment ref="G91" authorId="0" guid="{6D168514-8A76-4FE4-887C-664BA4277100}">
      <text>
        <r>
          <rPr>
            <b/>
            <sz val="9"/>
            <color indexed="81"/>
            <rFont val="Tahoma"/>
            <family val="2"/>
            <charset val="204"/>
          </rPr>
          <t>dohod:</t>
        </r>
        <r>
          <rPr>
            <sz val="9"/>
            <color indexed="81"/>
            <rFont val="Tahoma"/>
            <family val="2"/>
            <charset val="204"/>
          </rPr>
          <t xml:space="preserve">
Адм-я 100 000,00</t>
        </r>
      </text>
    </comment>
    <comment ref="H91" authorId="0" guid="{97CF90FD-E406-4515-A559-1D35CF237A35}">
      <text>
        <r>
          <rPr>
            <b/>
            <sz val="9"/>
            <color indexed="81"/>
            <rFont val="Tahoma"/>
            <family val="2"/>
            <charset val="204"/>
          </rPr>
          <t>dohod:</t>
        </r>
        <r>
          <rPr>
            <sz val="9"/>
            <color indexed="81"/>
            <rFont val="Tahoma"/>
            <family val="2"/>
            <charset val="204"/>
          </rPr>
          <t xml:space="preserve">
Адм-я 1 333 704,65
Культура 430 265,37
Аг-во 1 870 372,21</t>
        </r>
      </text>
    </comment>
    <comment ref="I91" authorId="0" guid="{AD5FE8C1-2323-448C-A22C-3D54D1A74C3D}">
      <text>
        <r>
          <rPr>
            <b/>
            <sz val="9"/>
            <color indexed="81"/>
            <rFont val="Tahoma"/>
            <family val="2"/>
            <charset val="204"/>
          </rPr>
          <t>dohod:</t>
        </r>
        <r>
          <rPr>
            <sz val="9"/>
            <color indexed="81"/>
            <rFont val="Tahoma"/>
            <family val="2"/>
            <charset val="204"/>
          </rPr>
          <t xml:space="preserve">
Аг-во 1 900 000
</t>
        </r>
      </text>
    </comment>
    <comment ref="K91" authorId="0" guid="{0AB463CB-2A3D-46A6-B216-DE6015F8B32D}">
      <text>
        <r>
          <rPr>
            <b/>
            <sz val="9"/>
            <color indexed="81"/>
            <rFont val="Tahoma"/>
            <family val="2"/>
            <charset val="204"/>
          </rPr>
          <t>dohod:</t>
        </r>
        <r>
          <rPr>
            <sz val="9"/>
            <color indexed="81"/>
            <rFont val="Tahoma"/>
            <family val="2"/>
            <charset val="204"/>
          </rPr>
          <t xml:space="preserve">
Аг-во 0,00
</t>
        </r>
      </text>
    </comment>
    <comment ref="L91" authorId="0" guid="{02BF1561-5F00-43FE-AA6A-A4544E926316}">
      <text>
        <r>
          <rPr>
            <b/>
            <sz val="9"/>
            <color indexed="81"/>
            <rFont val="Tahoma"/>
            <family val="2"/>
            <charset val="204"/>
          </rPr>
          <t>dohod:</t>
        </r>
        <r>
          <rPr>
            <sz val="9"/>
            <color indexed="81"/>
            <rFont val="Tahoma"/>
            <family val="2"/>
            <charset val="204"/>
          </rPr>
          <t xml:space="preserve">
Аг-во 0,00
</t>
        </r>
      </text>
    </comment>
    <comment ref="M91" authorId="0" guid="{B162AA97-14B4-4E5B-90FF-842AAFE22F7D}">
      <text>
        <r>
          <rPr>
            <b/>
            <sz val="9"/>
            <color indexed="81"/>
            <rFont val="Tahoma"/>
            <family val="2"/>
            <charset val="204"/>
          </rPr>
          <t>dohod:</t>
        </r>
        <r>
          <rPr>
            <sz val="9"/>
            <color indexed="81"/>
            <rFont val="Tahoma"/>
            <family val="2"/>
            <charset val="204"/>
          </rPr>
          <t xml:space="preserve">
Аг-во 0,00
</t>
        </r>
      </text>
    </comment>
  </commentList>
</comments>
</file>

<file path=xl/sharedStrings.xml><?xml version="1.0" encoding="utf-8"?>
<sst xmlns="http://schemas.openxmlformats.org/spreadsheetml/2006/main" count="914" uniqueCount="690">
  <si>
    <t>Номер реестровой записи</t>
  </si>
  <si>
    <t>Наименование группы  источников доходов бюджетов/наименование источника дохода бюджета</t>
  </si>
  <si>
    <t>Классификация доходов бюджетов</t>
  </si>
  <si>
    <t>Наименование главного администратора доходов республиканского бюджета Республики Коми</t>
  </si>
  <si>
    <t>Код строки</t>
  </si>
  <si>
    <t>Прогноз доходов республиканского бюджета Республики Коми</t>
  </si>
  <si>
    <t>код</t>
  </si>
  <si>
    <t>наименование</t>
  </si>
  <si>
    <t>Налоговые и неналоговые доходы</t>
  </si>
  <si>
    <t>000 1 00 00000 00 0000 000</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</si>
  <si>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</si>
  <si>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</si>
  <si>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</si>
  <si>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</si>
  <si>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</si>
  <si>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000 1 01 00000 00 0000 000</t>
  </si>
  <si>
    <t>000 1 01 01000 00 0000 110</t>
  </si>
  <si>
    <t>000 1 01 01010 00 0000 110</t>
  </si>
  <si>
    <t>182 1 01 01012 02 0000 110</t>
  </si>
  <si>
    <t>182 1 01 01014 02 0000 110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</si>
  <si>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</si>
  <si>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</si>
  <si>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</si>
  <si>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</si>
  <si>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</si>
  <si>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</si>
  <si>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</si>
  <si>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</si>
  <si>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</si>
  <si>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</si>
  <si>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Налоги на товары (работы, услуги), реализуемые на территории Российской Федерации</t>
  </si>
  <si>
    <t>000 1 03 00000 00 0000 110</t>
  </si>
  <si>
    <t>Акцизы по подакцизным товарам (продукции), производимым на территории Российской Федерации</t>
  </si>
  <si>
    <t>000 1 03 02000 01 0000 110</t>
  </si>
  <si>
    <t>Акцизы на пиво, производимое на территории Российской Федерации</t>
  </si>
  <si>
    <t>182 1 03 02100 01 0000 110</t>
  </si>
  <si>
    <t>Акцизы на алкогольную продукцию с объёмной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</si>
  <si>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182 1 03 02110 01 0000 110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</si>
  <si>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</si>
  <si>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100 1 03 02230 01 0000 110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</si>
  <si>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</si>
  <si>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100 1 03 02240 01 0000 110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</si>
  <si>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t>
  </si>
  <si>
    <t>100 1 03 02250 01 0000 110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</si>
  <si>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t>
  </si>
  <si>
    <t>100 1 03 02260 01 0000 110</t>
  </si>
  <si>
    <t>Акцизы на средние дистилляты, производимые на территории Российской Федерации</t>
  </si>
  <si>
    <t>182 1 03 02330 01 0000 110</t>
  </si>
  <si>
    <t>Налоги на совокупный доход</t>
  </si>
  <si>
    <t>000 1 05 00000 00 0000 000</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</si>
  <si>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</si>
  <si>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</si>
  <si>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</si>
  <si>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уменьшенные на величину расходов</t>
  </si>
  <si>
    <t>182 1 05 01021 01 0000 110</t>
  </si>
  <si>
    <t>Минимальный налог, зачисляемый в бюджеты субъектов Российской Федерации</t>
  </si>
  <si>
    <t>182 1 05 01050 01 0000 110</t>
  </si>
  <si>
    <t>Налоги на имущество</t>
  </si>
  <si>
    <t>000 1 06 00000 00 0000 000</t>
  </si>
  <si>
    <t>Налог на имущество организаций</t>
  </si>
  <si>
    <t>000 1 06 02000 02 0000 110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</si>
  <si>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</si>
  <si>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</si>
  <si>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</si>
  <si>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</si>
  <si>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t>
  </si>
  <si>
    <t>000 1 06 04000 02 0000 110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</si>
  <si>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</si>
  <si>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</si>
  <si>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</si>
  <si>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</si>
  <si>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</si>
  <si>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182 1 06 05000 02 0000 110</t>
  </si>
  <si>
    <t>Налоги, сборы и регулярные платежи за пользование природными ресурсами</t>
  </si>
  <si>
    <t>000 1 07 00000 00 0000 000</t>
  </si>
  <si>
    <t>Налог на добычу полезных ископаемых</t>
  </si>
  <si>
    <t>000 1 07 01000 01 0000 110</t>
  </si>
  <si>
    <t>Налог на добычу общераспространенных полезных ископаемых</t>
  </si>
  <si>
    <t>182 1 07 01020 01 0000 110</t>
  </si>
  <si>
    <t>Налог на добычу прочих полезных ископаемых (за исключением полезных ископаемых в виде природных алмазов)</t>
  </si>
  <si>
    <t>182 1 07 01030 01 0000 110</t>
  </si>
  <si>
    <t>Сборы за пользование объектами животного мира и за пользование объектами водных биологических ресурсов</t>
  </si>
  <si>
    <t>000 1 07 04000 01 0000 110</t>
  </si>
  <si>
    <t>Сбор за пользование объектами животного мира</t>
  </si>
  <si>
    <t>182 1 07 04010 01 0000 110</t>
  </si>
  <si>
    <t>Сбор за пользование объектами водных биологических ресурсов (по внутренним водным объектам)</t>
  </si>
  <si>
    <t>182 1 07 04030 01 0000 110</t>
  </si>
  <si>
    <t>Государственная пошлина</t>
  </si>
  <si>
    <t>000 1 08 00000 00 0000 000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</si>
  <si>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</si>
  <si>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</si>
  <si>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000 1 08 07000 01 0000 110</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</si>
  <si>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</si>
  <si>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</si>
  <si>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000 1 08 07080 01 0000 110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</si>
  <si>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</si>
  <si>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000 1 08 07082 01 0000 110</t>
  </si>
  <si>
    <t>Государственная пошлина за выдачу и обмен паспорта гражданина Российской Федерации</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</si>
  <si>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</si>
  <si>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</si>
  <si>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</si>
  <si>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000 1 08 07140 01 0000 110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</si>
  <si>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</si>
  <si>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</si>
  <si>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000 1 08 07170 01 0000 110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</si>
  <si>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</si>
  <si>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</si>
  <si>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</si>
  <si>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</si>
  <si>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Задолженность и перерасчёты по отменённым налогам, сборам и иным обязательным платежам</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</si>
  <si>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</si>
  <si>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</si>
  <si>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</si>
  <si>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</si>
  <si>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</si>
  <si>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</si>
  <si>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</si>
  <si>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</si>
  <si>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</si>
  <si>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</si>
  <si>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</si>
  <si>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</si>
  <si>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</si>
  <si>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</si>
  <si>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</si>
  <si>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</si>
  <si>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</si>
  <si>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</si>
  <si>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</si>
  <si>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</si>
  <si>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</si>
  <si>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</si>
  <si>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</si>
  <si>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048 1 12 01010 01 0000 120</t>
  </si>
  <si>
    <t>Плата за выбросы загрязняющих веществ в атмосферный воздух передвижными объектами</t>
  </si>
  <si>
    <t>048 1 12 01020 01 0000 120</t>
  </si>
  <si>
    <t>Плата за сбросы загрязняющих веществ в водные объекты</t>
  </si>
  <si>
    <t>048 1 12 01030 01 0000 120</t>
  </si>
  <si>
    <t>Плата за размещение отходов производства и потребления</t>
  </si>
  <si>
    <t>048 1 12 01040 01 0000 120</t>
  </si>
  <si>
    <t>Плата за иные виды негативного воздействия на окружающую среду</t>
  </si>
  <si>
    <t>048 1 12 01050 01 0000 120</t>
  </si>
  <si>
    <t>Плата за выбросы загрязняющих веществ, образующихся при сжигании на факельных установках и (или) рассеивании попутного нефтяного газа</t>
  </si>
  <si>
    <t>048 1 12 01070 01 0000 120</t>
  </si>
  <si>
    <t>Платежи при пользовании недрами</t>
  </si>
  <si>
    <t>000 1 12 02000 00 0000 120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</si>
  <si>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</si>
  <si>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000 1 12 02010 01 0000 120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</si>
  <si>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</si>
  <si>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</si>
  <si>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182 1 12 02030 01 0000 120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</si>
  <si>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</si>
  <si>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000 1 12 02050 01 0000 120</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</si>
  <si>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</si>
  <si>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Сборы за участие в конкурсе (аукционе) на право пользования участками недр</t>
  </si>
  <si>
    <t>000 1 12 02100 00 0000 120</t>
  </si>
  <si>
    <t>Сборы за участие в конкурсе (аукционе) на право пользования участками недр местного значения</t>
  </si>
  <si>
    <t>Плата за использование лесов</t>
  </si>
  <si>
    <t>000 1 12 04000 00 0000 120</t>
  </si>
  <si>
    <t>Плата за использование лесов, расположенных на землях лесного фонда</t>
  </si>
  <si>
    <t>000 1 12 04010 00 0000 120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</si>
  <si>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</si>
  <si>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</si>
  <si>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</si>
  <si>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(работ)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</si>
  <si>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</si>
  <si>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</si>
  <si>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</si>
  <si>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</si>
  <si>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</si>
  <si>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субъектов Российской Федерации</t>
  </si>
  <si>
    <t>000 1 13 01992 02 0000 130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</si>
  <si>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</si>
  <si>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</si>
  <si>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</si>
  <si>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</si>
  <si>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субъектов Российской Федерации</t>
  </si>
  <si>
    <t>000 1 13 02992 02 0000 130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</si>
  <si>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</si>
  <si>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</si>
  <si>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унитарных предприятий, в том числе казённых)</t>
  </si>
  <si>
    <t>000 1 14 02000 00 0000 000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</si>
  <si>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</si>
  <si>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</si>
  <si>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</si>
  <si>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</si>
  <si>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</si>
  <si>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</si>
  <si>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</si>
  <si>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240 1 14 06022 02 0000 430</t>
  </si>
  <si>
    <t>Штрафы, санкции, возмещение ущерба</t>
  </si>
  <si>
    <t>000 1 16 00000 00 0000 000</t>
  </si>
  <si>
    <t>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</si>
  <si>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000 1 16 02000 00 0000 140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</si>
  <si>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</si>
  <si>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Денежные взыскания (штрафы) за нарушение законодательства о налогах и сборах</t>
  </si>
  <si>
    <t>000 1 16 03000 00 0000 140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</si>
  <si>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</si>
  <si>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Денежные взыскания (штрафы) за нарушение бюджетного законодательства Российской Федерации</t>
  </si>
  <si>
    <t>000 1 16 18000 00 0000 140</t>
  </si>
  <si>
    <t>Денежные взыскания (штрафы) за нарушение бюджетного законодательства (в части бюджетов субъектов Российской Федерации)</t>
  </si>
  <si>
    <t>Денежные взыскания (штрафы) за нарушение законодательства о рекламе</t>
  </si>
  <si>
    <t>Денежные взыскания (штрафы) за нарушение законодательства Российской Федерации о пожарной безопасности</t>
  </si>
  <si>
    <t>Денежные взыскания (штрафы) за правонарушения в области дорожного движения</t>
  </si>
  <si>
    <t>000 1 16 30000 01 0000 140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</si>
  <si>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t>
  </si>
  <si>
    <t>000 1 16 30010 01 0000 140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</si>
  <si>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</si>
  <si>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188 1 16 30012 01 0000 140</t>
  </si>
  <si>
    <t>Денежные взыскания (штрафы) за нарушение законодательства Российской Федерации о безопасности дорожного движения</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</si>
  <si>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</si>
  <si>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000 1 16 32000 00 0000 140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</si>
  <si>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</si>
  <si>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</si>
  <si>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000 1 16 33000 00 0000 140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</si>
  <si>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</si>
  <si>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000 1 16 33020 02 0000 140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</si>
  <si>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</si>
  <si>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000 1 16 37000 00 0000 140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</si>
  <si>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</si>
  <si>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Прочие поступления от денежных взысканий (штрафов) и иных сумм в возмещение ущерба</t>
  </si>
  <si>
    <t>000 1 16 90000 00 0000 140</t>
  </si>
  <si>
    <t>Прочие поступления от денежных взысканий (штрафов) и иных сумм в возмещение ущерба, зачисляемые в бюджеты субъектов Российской Федерации</t>
  </si>
  <si>
    <t>000 1 16 90020 02 0000 140</t>
  </si>
  <si>
    <t>Прочие неналоговые доходы</t>
  </si>
  <si>
    <t>000 1 17 00000 00 0000 000</t>
  </si>
  <si>
    <t>000 1 17 05000 00 0000 180</t>
  </si>
  <si>
    <t>Прочие неналоговые доходы бюджетов субъектов Российской Федерации</t>
  </si>
  <si>
    <t>Управление федеральной налоговой службы по Республике Коми</t>
  </si>
  <si>
    <t>Прогноз доходов республиканского бюджета Республики Коми  на 2017г. (текущий финансовый год)</t>
  </si>
  <si>
    <t>Оценка исполнения 2017г. (текущий финансовый год)</t>
  </si>
  <si>
    <t>на 2018г. (очередной финансовый год)</t>
  </si>
  <si>
    <t>на 2019г. (первый год планового периода)</t>
  </si>
  <si>
    <t>на 2020г. (второй год планового периода)</t>
  </si>
  <si>
    <t>Кассовые поступления в текущем финансовом году (по состоянию на "01" июля 2017г.</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</si>
  <si>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</si>
  <si>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100 1 03 02140 01 0000 110</t>
  </si>
  <si>
    <t>Управление Федерального казначейства по Республики Коми</t>
  </si>
  <si>
    <t>182 1 05 01000 00 0000 110</t>
  </si>
  <si>
    <t>182 1 05 01010 01 0000 110</t>
  </si>
  <si>
    <t>182 1 05 01020 01 0000 110</t>
  </si>
  <si>
    <t>Налог на добычу полезных ископаемых в виде угля</t>
  </si>
  <si>
    <t xml:space="preserve">182 1 07 01060 01 0000 110
</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</si>
  <si>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</si>
  <si>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</si>
  <si>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</si>
  <si>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</si>
  <si>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</si>
  <si>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межрегиональных, региональных и местных и общественных объединений, а также за государственную регистрацию изменений их учредительных документов</t>
  </si>
  <si>
    <t>Государственная пошлина по делам, рассматриваемым Конституционным Судом РФ и конституционными (уставными) судами субъектов РФ</t>
  </si>
  <si>
    <t>Государственная пошлина по делам, рассматриваемым Конституционными судами субъектов РФ</t>
  </si>
  <si>
    <t>963 1 11 01020 02 0000 120</t>
  </si>
  <si>
    <t>Министерство Республики Коми имущественных и земельных отношений</t>
  </si>
  <si>
    <t>Проценты, полученные от предоставления бюджетных кредитов внутри страны</t>
  </si>
  <si>
    <t>Министерство финансов Республики Коми</t>
  </si>
  <si>
    <t>000 1 11 03000 00 0000 120</t>
  </si>
  <si>
    <t>Проценты, полученные от предоставления бюджетных кредитов внутри страны за счет средств бюджетов субъектов Российской Федерации</t>
  </si>
  <si>
    <t>892 1 11 03020 02 0000 120</t>
  </si>
  <si>
    <t>Плата по соглашениям об установлении сервитута в отношении земельных участков, находящихся в государственной или муниципально собственности</t>
  </si>
  <si>
    <t xml:space="preserve"> 000 1 11 05300 00 0000 100</t>
  </si>
  <si>
    <t>863 1 11 07012 02 0000 120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</si>
  <si>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</si>
  <si>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</si>
  <si>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</si>
  <si>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863 1 11 09042 02 0000 120</t>
  </si>
  <si>
    <t>000 1 17 05020 02 0000 180</t>
  </si>
  <si>
    <t>Избирательная комиссия Республики Коми, Администрация Главы Республики Коми, Министерство промышленности, природных ресурсов, энергетики и транспорта Республики Коми, Министерство Республики Коми имущественных и земельных отношений</t>
  </si>
  <si>
    <t>Невыясненные поступления</t>
  </si>
  <si>
    <t>000 1 17 01000 00 0000 180</t>
  </si>
  <si>
    <t>Невыясненные поступления, зачисляемые в бюджеты субъектов Российской Федерации</t>
  </si>
  <si>
    <t>000 1 17 01020 02 0000 180</t>
  </si>
  <si>
    <t>Министерство строительства и дорожного хозяйства Республики Коми</t>
  </si>
  <si>
    <t xml:space="preserve">Федеральная служба по надзору в сфере защиты прав потребителей и благополучия человека, Избирательная комиссия Республики Коми, Министерство строительства и дорожного хозяйства Республики Коми, Министерство инвестиций, промышленности и транспорта Республики, Министрество труда, занятости и социальной защиты Республики Коми, Министерство природных ресурсов и охраны окружающей среды Республики Коми, Министерство энергетики, жилищно-коммунального хозяйства и тарифов Республики Коми, Министерство здравооохранения Республики Коми, Министерство Республики Коми имущественных и земельных отношений, Министерство образования, науки и молодежной политики Республики Коми, Комитет Республики Коми гражданской обороны и чрезвычайных ситуаций, Министерство сельского хозяйства и потребительского рынка Республики Коми, Министерство юстиции Республики Коми, Министерство финансов Республики Коми </t>
  </si>
  <si>
    <t>Избирательная комиссия Республики Коми, Аппарат Государственного Совета Республики Коми, Администрация Главы республики Коми, Министерство экономики Републики Коми,Министерство строительства и дорожного хозяйства Республики Коми, Министерство инвестиций, Министерство здравоохранения Республики Коми, Министерство образования Республики Коми, Комитет Республики Коми гражданской обороны и чрезвычайной ситуаций</t>
  </si>
  <si>
    <t>Министерство экономики Республики Коми, Министертсво образования, науки и молодежной политики Республики Коми</t>
  </si>
  <si>
    <t>Федеральная служба по надзору в сфере транспорта, Министерство внутренних дел Российской Федерации</t>
  </si>
  <si>
    <t>000 1 16 30020 01 0000 140</t>
  </si>
  <si>
    <t>Министерство внутренних дел Российской Федерации</t>
  </si>
  <si>
    <t>000 1 05 0300001 0000 110</t>
  </si>
  <si>
    <t>Единый сельскохозяйственный налог</t>
  </si>
  <si>
    <t>Единый сельскохозяйственный налог (за налоговые периоды, истекшие до 1 января 2011 года)</t>
  </si>
  <si>
    <t>182 1 05 0302001 0000 110</t>
  </si>
  <si>
    <t>Федеральная служба по надзору в сфере связи, информационных технологий и массовых коммуникаций</t>
  </si>
  <si>
    <t>096 1 08 0713001 0000 110</t>
  </si>
  <si>
    <t>Федеральная налоговая служба</t>
  </si>
  <si>
    <t>182 1 08 0202001 0000 100</t>
  </si>
  <si>
    <t>000 1 08 0200001 0000 110</t>
  </si>
  <si>
    <t>Министерство внутренних дел</t>
  </si>
  <si>
    <t>188 1 08 06000 01 0000 110</t>
  </si>
  <si>
    <t>182 108 0701001 0000 110</t>
  </si>
  <si>
    <t>Федеральная регистрационная служба</t>
  </si>
  <si>
    <t>321 1 08 07020 01 0000 110</t>
  </si>
  <si>
    <t xml:space="preserve">Министерство природных ресурсов и охраны окружающей среды Республики Коми </t>
  </si>
  <si>
    <t>Министерство природных ресурсов и охраны окружающей среды Республики Коми, Министерство образования, науки и молодежной политики Республики Коми, Министерство сельского хозяйства и потребительского рынка Республики Коми</t>
  </si>
  <si>
    <t>188 1 08 07100 01 0000 110</t>
  </si>
  <si>
    <t>Министерство юстиции Российской Федерации</t>
  </si>
  <si>
    <t>318 1 08 07110 01 0000 110</t>
  </si>
  <si>
    <t>318 1 08 07120 010000 110</t>
  </si>
  <si>
    <t>188 1 08 07141 01 0000 110</t>
  </si>
  <si>
    <t>Служба Республики Коми строительного, жилищного и технического надзора (контроля)</t>
  </si>
  <si>
    <t>843 1 08 07142 01 0000 110</t>
  </si>
  <si>
    <t xml:space="preserve">Министерство строительства и дорожного хозяйства Республики Коми </t>
  </si>
  <si>
    <t>827 1 08 07172 01 0000 110</t>
  </si>
  <si>
    <t>000 108 07280 01 0000 110</t>
  </si>
  <si>
    <t>852 108 07282 01 0000 110</t>
  </si>
  <si>
    <t xml:space="preserve">Министерство инвестиций, промышленности и транспорта Республики Коми </t>
  </si>
  <si>
    <t>844 108 0730001 0000 110</t>
  </si>
  <si>
    <t>Министерство образования, науки и молодежной политики Республики Коми</t>
  </si>
  <si>
    <t>875 1 08 07380 01 0000 110</t>
  </si>
  <si>
    <t>875 1 08 07390 01 0000 110</t>
  </si>
  <si>
    <t>843 1 08 07400 01 0000 110</t>
  </si>
  <si>
    <t>182 1 09 00000 00 0000 000</t>
  </si>
  <si>
    <t>000 1 11 05022 02 0000 120</t>
  </si>
  <si>
    <t xml:space="preserve">Министерство Республики Коми имущественных и земельных отношений, Министерство строительства и дорожного хозяйства Республики Коми </t>
  </si>
  <si>
    <t>863 1 11 05032 02 0000 120</t>
  </si>
  <si>
    <t>827 1 11 05320 00 0000 100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</si>
  <si>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</si>
  <si>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</si>
  <si>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Федеральная служба по надзору в сфере природопользования</t>
  </si>
  <si>
    <t>852 1 12 02012 01 0000 120</t>
  </si>
  <si>
    <t>852 1 12 02052 01 0000 120</t>
  </si>
  <si>
    <t>852 1 12 02102 02 0000 120</t>
  </si>
  <si>
    <t>852 1 12 04013 02 0000 120</t>
  </si>
  <si>
    <t>852 1 12 04014 02 0000 120</t>
  </si>
  <si>
    <t>852 1 12 04015 02 0000 120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</si>
  <si>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</si>
  <si>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</si>
  <si>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182 11301020010000130</t>
  </si>
  <si>
    <t>321 11301031010000 130</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</si>
  <si>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</si>
  <si>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</si>
  <si>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00011301400010000130</t>
  </si>
  <si>
    <t>852 11301410010000130</t>
  </si>
  <si>
    <t>Министерство строительства и дорожного хозяйства Республики Коми, Представительство Республики Коми в Северо-Западном регионе Российской Федерации, Служба Республики Коми строительного, жилищного и технического надзора (контроля), Министерство труда, занятости и социальной защиты Республики Коми, Министерство сельского хозяйства и потребительского рынка Республики Коми, Министерство инвестиций, промышленности и транспорта Республики Коми, Министерство природных ресурсов и охраны окружающей среды Республики Коми</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</si>
  <si>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</si>
  <si>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</si>
  <si>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Министерство сельского хозяйства и потребительского рынка Республики Коми</t>
  </si>
  <si>
    <t>Избирательная комиссия Республики Коми, Аппарат Государственного Совета Республики Коми, Администрация Главы Республики Коми, Министерство экономики Республики Коми,Министерство строительства и дорожного хозяйства Республики Коми, Министерство энергетики, жилищно-коммунального хозяйства и тарифов Республики Коми, Министерство сельского хозяйства и потребительского рынка Республики Коми, Постоянное представительство Республики Коми при Президенте Российской Федерации, Министерство инвестиций, промышленности и транспорта Республики, Министерство природных ресурсов и охраны окружающей среды Республики Коми, Служба Республики Коми строительного, жилищного и технического надзора (контроля), Министерство труда, занятости и социальной защиты Республики Коми, Министерство национальной политики Республики Коми, Министерство здравоохранения Республики Коми, Управление Республики Коми по охране объектов культурного наследия, Министерство Республики Коми имущественных и земельных отношений, Министерство физической культуры и спорта Республики Коми, Министерство образования, науки и молодежной политики Республики Коми, Комитет Республики Коми гражданской обороны и чрезвычайных ситуаций, Министерство юстиции Республики Коми, Министерство финансов Республики Коми</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</si>
  <si>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</si>
  <si>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000 1 14 02 02002 0000 410</t>
  </si>
  <si>
    <t>863 1 14 02023 02 0000 410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</si>
  <si>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</si>
  <si>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Министерство энергетики, жилищно-коммунального хозяйства и тарифов Республики Коми </t>
  </si>
  <si>
    <t>866 1 16 02030 02 0000 140</t>
  </si>
  <si>
    <t>000 1 16 03020 02 0000 140</t>
  </si>
  <si>
    <t>000 1 16 18020 02 0000 140</t>
  </si>
  <si>
    <t>Денежные взыскания (штрафы) и иные суммы, взыскиваемые с лиц, виновных в совершении преступлений, и в возмещение ущерба имуществу</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</si>
  <si>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</si>
  <si>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Доходы от возмещения ущерба при возникновении страховых случаев</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</si>
  <si>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</si>
  <si>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</si>
  <si>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</si>
  <si>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</si>
  <si>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Денежные взыскания (штрафы) за нарушение лесного законодательства</t>
  </si>
  <si>
    <t>Денежные взыскания (штрафы) за нарушение водного законодательства</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</si>
  <si>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</si>
  <si>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</si>
  <si>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Реестр источников доходов республиканского бюджета Республики Коми на 2018 год и плановый период 2019 и 2020 годов</t>
  </si>
  <si>
    <t>000 1 16 27000 01 0000 140</t>
  </si>
  <si>
    <t>Министерство Российской Федерации по делам гражданской обороны, чрезвычайным ситуациям и ликвидации последствий стихийных бедствий, Министерство здравооохранения Республики Коми</t>
  </si>
  <si>
    <t>Федеральная антимонопольная служба, Министерство внутренних дел, Генеральная прокуратура Российской Федерации</t>
  </si>
  <si>
    <t>000 1 16 26000 01 0000 140</t>
  </si>
  <si>
    <t>852 1 16 25082 02 0000 140</t>
  </si>
  <si>
    <t>852 1 16 25086 02 000 0140</t>
  </si>
  <si>
    <t>852 1 16 25070 00 0000 140</t>
  </si>
  <si>
    <t xml:space="preserve"> 000 1 16 25080 00 0000 140</t>
  </si>
  <si>
    <t>000 1 162 1000 00 0000 140</t>
  </si>
  <si>
    <t>000 1 16 21020 02 0000 140</t>
  </si>
  <si>
    <t>000 1 16 23000 00 0000 140</t>
  </si>
  <si>
    <t>000 1 16 23020 02 0000 140</t>
  </si>
  <si>
    <t>000 1 162 500000 0000 140</t>
  </si>
  <si>
    <t>000 1 16 23022 02 0000 140</t>
  </si>
  <si>
    <t>844 1 16 23021 02 0000 140</t>
  </si>
  <si>
    <t>827 1 16 37020 02 0000 140</t>
  </si>
  <si>
    <t>000 1 16 32000 02 0000 140</t>
  </si>
  <si>
    <t>000 1 13 02060 00 0000 130</t>
  </si>
  <si>
    <t>882 1 13 02062 02 0000 130</t>
  </si>
  <si>
    <t>000 1 14 02020 02 0000 440</t>
  </si>
  <si>
    <t>000 1 14 02022 02 0000 440</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</si>
  <si>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</si>
  <si>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</si>
  <si>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</si>
  <si>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</si>
  <si>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000 2 00 00000 00 0000 000</t>
  </si>
  <si>
    <t>000 2 02 00000 00 0000 000</t>
  </si>
  <si>
    <t>Субвенции бюджетам субъектов Российской Федерации и муниципальных образований</t>
  </si>
  <si>
    <t>ДОХОДЫ всего</t>
  </si>
  <si>
    <t>Единый налог на вмененный доход для отдельных видов деятельности</t>
  </si>
  <si>
    <t>182 1 05 02000 02 0000 110</t>
  </si>
  <si>
    <t>182 1 05 03010 01 0000 110</t>
  </si>
  <si>
    <t>182 1 05 03000 01 0000 110</t>
  </si>
  <si>
    <t>182 1 05 04000 02 0000 110</t>
  </si>
  <si>
    <t>Налог, взимаемый в связи с применением патентной системы налогообложения</t>
  </si>
  <si>
    <t>Налог на имущество физических лиц</t>
  </si>
  <si>
    <t>Земельный налог</t>
  </si>
  <si>
    <t>182 1 06 06000 00 0000 110</t>
  </si>
  <si>
    <t>Земельный налог с организаций</t>
  </si>
  <si>
    <t>182 1 06 06030 00 0000 110</t>
  </si>
  <si>
    <t>Земельный налог с физических лиц</t>
  </si>
  <si>
    <t>182 1 06 06040 00 0000 110</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</si>
  <si>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</si>
  <si>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</si>
  <si>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</si>
  <si>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923 1 08 07173 01 0000 110</t>
  </si>
  <si>
    <t>000 1 14 06010 00 0000 430</t>
  </si>
  <si>
    <t>Доходы от продажи земельных участков, государственная собственность на которые не разграничена</t>
  </si>
  <si>
    <t>ВОЗВРАТ ОСТАТКОВ СУБСИДИЙ, СУБВЕНЦИЙ И ИНЫХ МЕЖБЮДЖЕТНЫХ ТРАНСФЕРТОВ, ИМЕЮЩИХ ЦЕЛЕВОЕ НАЗНАЧЕНИЕ, ПРОШЛЫХ ЛЕТ</t>
  </si>
  <si>
    <t xml:space="preserve">  </t>
  </si>
  <si>
    <t>182 1 05 02010 02 0000 110</t>
  </si>
  <si>
    <t>Иные межбюджетные трансферты</t>
  </si>
  <si>
    <t>ПРОЧИЕ БЕЗВОЗМЕЗДНЫЕ ПОСТУПЛЕНИЯ</t>
  </si>
  <si>
    <t>000 1 16 01000 01 0000 140</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</si>
  <si>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</si>
  <si>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</si>
  <si>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000 1 16 10000 01 0000 140</t>
  </si>
  <si>
    <t>Платежи в целях возмещения причиненного ущерба (убытков)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</si>
  <si>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</si>
  <si>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</si>
  <si>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000 2 02 20000 00 0000 150</t>
  </si>
  <si>
    <t>000 2 02 30000 00 0000 150</t>
  </si>
  <si>
    <t>000 2 02 40000 00 0000 150</t>
  </si>
  <si>
    <t>000 2 07 00000 00 0000 150</t>
  </si>
  <si>
    <t>000 2 19 00000 00 0000 150</t>
  </si>
  <si>
    <t>823 1 08 07150 01 0000 110</t>
  </si>
  <si>
    <t>Государственная пошлина за выдачу разрешения на установку рекламной конструкции</t>
  </si>
  <si>
    <t>Администрация Главы Республики Коми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</si>
  <si>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</si>
  <si>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</si>
  <si>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000 1 16 07000 01 0000 140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</si>
  <si>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</si>
  <si>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992 2 02 10000 00 0000 150</t>
  </si>
  <si>
    <t>000 1 09 00000 00 0000 000</t>
  </si>
  <si>
    <t>Задолженность и перерасчеты по отмененным налогам, сборам и иным обязательным платежам</t>
  </si>
  <si>
    <t>000 1 09 04000 00 0000 110</t>
  </si>
  <si>
    <t>000 1 16 01053 01 0000 140</t>
  </si>
  <si>
    <t>000 1 16 01063 01 0000 140</t>
  </si>
  <si>
    <t>000 1 16 01073 01 0000 140</t>
  </si>
  <si>
    <t>890 1 16 01083 01 0000 140</t>
  </si>
  <si>
    <t>890 1 16 01143 01 0000 140</t>
  </si>
  <si>
    <t>890 1 16 01153 01 0000 140</t>
  </si>
  <si>
    <t>000 1 16 01173 01 0000 140</t>
  </si>
  <si>
    <t>000 1 16 01193 01 0000 140</t>
  </si>
  <si>
    <t>000 1 16 01203 01 0000 140</t>
  </si>
  <si>
    <t>000 1 16 10123 01 0000 140</t>
  </si>
  <si>
    <t>000 1 16 11000 01 0000 140</t>
  </si>
  <si>
    <t>Платежи, уплачиваемые в целях возмещения вреда</t>
  </si>
  <si>
    <t>923 1 16 11064 01 0000 140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</si>
  <si>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</si>
  <si>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000 1 16 01093 01 0000 140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</si>
  <si>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</si>
  <si>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000 2 08 00000 00 0000 000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</si>
  <si>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</si>
  <si>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</si>
  <si>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</si>
  <si>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182 1 01 02130 01 0000 110</t>
  </si>
  <si>
    <t>182 1 03 02231 01 0000 110</t>
  </si>
  <si>
    <t>182 1 03 02241 01 0000 110</t>
  </si>
  <si>
    <t>182 1 03 02251 01 0000 110</t>
  </si>
  <si>
    <t>182 1 03 02261 01 0000 110</t>
  </si>
  <si>
    <t>Минимальный налог, зачисляемый в бюджеты субъектов Российской Федерации (за налоговые периоды, истекшие до 1 января 2016 года)</t>
  </si>
  <si>
    <t>182 1 05 01050 01 1000 110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</si>
  <si>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</si>
  <si>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000 1 11 05326 00 0000 120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</si>
  <si>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</si>
  <si>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Министерство природных ресурсов и охраны окружающей среды Республики Коми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</si>
  <si>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</si>
  <si>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890 1 16 01333 01 0000 140</t>
  </si>
  <si>
    <t xml:space="preserve"> рублей</t>
  </si>
  <si>
    <t>Бородачева, 
просвернина
спорт
образование</t>
  </si>
  <si>
    <t>000 2 03 00000 00 0000 150</t>
  </si>
  <si>
    <t>БЕЗВОЗМЕЗДНЫЕ ПОСТУПЛЕНИЯ ОТ ГОСУДАРСТВЕННЫХ (МУНИЦИПАЛЬНЫХ) ОРГАНИЗАЦИЙ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</si>
  <si>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</si>
  <si>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000 2 19 25527 14 0000 150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</si>
  <si>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муниципальных округов</t>
  </si>
  <si>
    <t>Наименование главного администратора доходов бюджета МО "Инта" Республки Коми</t>
  </si>
  <si>
    <t>Прогноз доходов  бюджета МО "Инта" Республики Коми</t>
  </si>
  <si>
    <t>000 2 07 04020 14 0000 150</t>
  </si>
  <si>
    <t>Поступления от денежных пожертвований, предоставляемых физическими лицами получателям средств бюджетов муниципальных округов</t>
  </si>
  <si>
    <t>000 2 08 04000 14 0000 150</t>
  </si>
  <si>
    <t>000 2 03 04099 14 0000 150</t>
  </si>
  <si>
    <t>Прочие безвозмездные поступления от государственных (муниципальных) организаций в бюджеты муниципальных округов</t>
  </si>
  <si>
    <t xml:space="preserve">  Отдел по управлению муниципальным имуществом администрации муниципального округа "Инта"
Отдел спорта администрации муниципального округа "Инта"</t>
  </si>
  <si>
    <t>975 2 02 45303 14 0000 150</t>
  </si>
  <si>
    <t>Отдел образования администрации муниципального округа "Инта"</t>
  </si>
  <si>
    <t>975 2 02 45179 14 0000 150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</si>
  <si>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</si>
  <si>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975 2 02 39999 14 0000 150</t>
  </si>
  <si>
    <t>Прочие субвенции бюджетам муниципальных округов</t>
  </si>
  <si>
    <t>923 2 02 35120 14 0000 150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</si>
  <si>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</si>
  <si>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Администрация муниципального округа "Инта"  </t>
  </si>
  <si>
    <t>975 2 02 30029 14 0000 150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</si>
  <si>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</si>
  <si>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000 2 02 30024 14 0000 150</t>
  </si>
  <si>
    <t>Субвенции бюджетам муниципальных округов на выполнение передаваемых полномочий субъектов Российской Федерации</t>
  </si>
  <si>
    <t>000 2 02 29999 14 0000 150</t>
  </si>
  <si>
    <t>Прочие субсидии бюджетам муниципальных округов</t>
  </si>
  <si>
    <t>Отдел по управлению муниципальным имуществом администрации муниципального округа "Инта"</t>
  </si>
  <si>
    <t>923 2 02 25555 14 0000 150</t>
  </si>
  <si>
    <t>Субсидии бюджетам муниципальных округов на реализацию программ формирования современной городской среды</t>
  </si>
  <si>
    <t>975 2 02 25304 14 0000 150</t>
  </si>
  <si>
    <t>963 2 02 20303 14 0000 150</t>
  </si>
  <si>
    <t>963 2 02 20300 14 0000 150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</si>
  <si>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</si>
  <si>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963 2 02 20077 14 0000 150</t>
  </si>
  <si>
    <t>Прочие дотации бюджетам муниципальных округов</t>
  </si>
  <si>
    <t xml:space="preserve"> Администрация муниципального округа "Инта"                                                                    </t>
  </si>
  <si>
    <t>992 2 02 15002 14 0000 150</t>
  </si>
  <si>
    <t>Финансовое управление администрации муниципального округа "Инта"</t>
  </si>
  <si>
    <t>992 2 02 15001 14 0000 150</t>
  </si>
  <si>
    <t>Инициативные платежи, зачисляемые в бюджеты муниципальных округов</t>
  </si>
  <si>
    <t>992 1 17 05040 14 0000 180</t>
  </si>
  <si>
    <t>Прочие неналоговые доходы бюджетам муниципальных округов</t>
  </si>
  <si>
    <t xml:space="preserve"> Финансовое управление администрация муниципального округа "Инта"                                                   Администрация муниципального округа "Инта"</t>
  </si>
  <si>
    <t>000 1 17 01040 14 0000 180</t>
  </si>
  <si>
    <t>Невыясненные поступления, зачисляемые в бюджет муниципальных округов</t>
  </si>
  <si>
    <t>Администрация муниципального округа "Инта"     Финансовое управление администрация муниципального округа "Инта"             Отдел по управлению муниципальным имуществом администрации муниципального округа "Инта"</t>
  </si>
  <si>
    <t>Администрация муниципального округа "Инта"</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</si>
  <si>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</si>
  <si>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Администрация муниципального округа "Инта"                                                                 Отдел по управлению муниципальным имуществом администрации муниципального округа "Инта"</t>
  </si>
  <si>
    <t>000 1 16 10032 14 0000 140</t>
  </si>
  <si>
    <t>923 1 16 07090 14 0000 140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</si>
  <si>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</si>
  <si>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Администрация муниципального округа "Инта"    </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</si>
  <si>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</si>
  <si>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</si>
  <si>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963 1 14 06012 14 0000 430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</si>
  <si>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</si>
  <si>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923 1 14 02042 14 0000 440</t>
  </si>
  <si>
    <t xml:space="preserve">Администрация муниципального  округа "Инта"    </t>
  </si>
  <si>
    <t>963 1 14 02043 14 0000 410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</si>
  <si>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</si>
  <si>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000 1 13 02064 14 0000 130</t>
  </si>
  <si>
    <t>923 1 13 01994 14 0000 130</t>
  </si>
  <si>
    <t>Прочие доходы от оказания платных услуг (работ) получателями средств бюджетов муниципальных округов</t>
  </si>
  <si>
    <t>852 1 11 05326 14 0000 120</t>
  </si>
  <si>
    <t>963 1 11 05024 14 0000 120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</si>
  <si>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</si>
  <si>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963 1 11 05012 14 0000 120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</si>
  <si>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</si>
  <si>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963 1 11 01040 14 0000 120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</si>
  <si>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</si>
  <si>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182  1 09 04052 14 0000 110</t>
  </si>
  <si>
    <t>Земельный налог (по обязательствам, возникшим до 1 января 2006 года), мобилизуемый на территориях муниципальных округов</t>
  </si>
  <si>
    <t>182 1 06 06042 14 0000 110</t>
  </si>
  <si>
    <t>Земельный налог с физических лиц,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</si>
  <si>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</si>
  <si>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муниципальных округов</t>
  </si>
  <si>
    <t>182 1 06 01020 14 0000 110</t>
  </si>
  <si>
    <t>Реестр источников доходов  бюджета муниципального округа "Инта" Республики Коми на 2026 год и плановый период 2027 и 2028 годов</t>
  </si>
  <si>
    <t>Прогноз доходов  бюджета МО "Инта" Республики Коми на 2025г. (текущий финансовый год)</t>
  </si>
  <si>
    <t>Кассовые поступления в текущем финансовом году (по состоянию на "01" сентября 2025г.)</t>
  </si>
  <si>
    <t>Оценка исполнения 2025г. (текущий финансовый год)</t>
  </si>
  <si>
    <t>на 2026г. (очередной финансовый год)</t>
  </si>
  <si>
    <t>на 2027г. (первый год планового периода)</t>
  </si>
  <si>
    <t>на 2028г. (второй год планового периода)</t>
  </si>
  <si>
    <t>Отклонение            (+,-) ожид. испол. 2025/                    плану 2025</t>
  </si>
  <si>
    <t>048 1 12 01010 01 6000 120</t>
  </si>
  <si>
    <t>048 1 12 01030 01 2100 120</t>
  </si>
  <si>
    <t>Плата за сбросы загрязняющих веществ в водные объекты (пени по соответствующему платежу)</t>
  </si>
  <si>
    <t>048 1 12 01010 01 2100 120</t>
  </si>
  <si>
    <t>Плата за выбросы загрязняющих веществ в атмосферный воздух стационарными объектами (пени по соответствующему платежу)</t>
  </si>
  <si>
    <t>048 1 12 01041 01 2100 120</t>
  </si>
  <si>
    <t>Плата за размещение отходов производства (пени по соответствующему платежу)</t>
  </si>
  <si>
    <t>Министерство образования и науки Республики Коми  (875)                                         Министерство юстиции Республики Коми (890)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</si>
  <si>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</si>
  <si>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</si>
  <si>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Служба Республики Коми строительного, жилищного и технического надзора (контроля) (843)                                                                                                  Министерство образования и науки Республики Коми  (875)                                         Министерство юстиции Республики Коми (890)</t>
  </si>
  <si>
    <t>Служба Республики Коми строительного, жилищного и технического надзора (контроля) (843)                                                                                                                                          Министерство юстиции Республики Коми (890)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</si>
  <si>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</si>
  <si>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Отдел образования администрации муниципального округа "Инта" (975)</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</si>
  <si>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</si>
  <si>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Отдел по управлению муниципальным имуществом администрации муниципального округа "Инта" (963 ) 
 Администрация муниципального округа "Инта"(923) </t>
  </si>
  <si>
    <t>Доходы, поступающие в порядке возмещения расходов, понесенных в связи с эксплуатацией имущества муниципальных округов</t>
  </si>
  <si>
    <t>Дотации бюджетам муниципальных округов на поддержку мер по обеспечению сбалансированности бюджетов</t>
  </si>
  <si>
    <t>Дотации бюджетам муниципальных округов на выравнивание бюджетной обеспеченности из бюджета субъекта Российской Федерации</t>
  </si>
  <si>
    <t xml:space="preserve">Администрация муниципального округа "Инта" (923)                                                   Отдел культуры администрации муниципального округа "Инта" (956)             Отдел образования администрации муниципального округа "Инта"(975)    Финансовое управление администрации муниципального округа "Инта"  (992)                                            Отдел спорта администрации муниципального округа "Инта" (939)                      Отдел по управлению муниципальным имуществом администрации муниципального округа "Инта"(963)        </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</si>
  <si>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</si>
  <si>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Финансовое управление администрации муниципального округа "Инта" (992)</t>
  </si>
  <si>
    <t xml:space="preserve">  Администрация муниципального округа "Инта" (923)                                      Отдел образования администрации МО "Инта" (975)</t>
  </si>
  <si>
    <t>000 1 17 15020 14 0000 150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</si>
  <si>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</si>
  <si>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Администрация муниципального округа "Инта"  (923)                                                      Отдел образования администрации муниципального округа "Инта" (975)</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</si>
  <si>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</si>
  <si>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Отдел образования администрации муниципального округа "Инта"(975)                                                                                    Отдел культуры администрации муниципального округа "Инта" (956) Отдел спорта администрации муниципального округа "Инта"(939)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</si>
  <si>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</si>
  <si>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</si>
  <si>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</si>
  <si>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</si>
  <si>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</si>
  <si>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</si>
  <si>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(суммы денежных взысканий (штрафов) по соответствующему платежу согласно законодательству Российской Федерации)</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</si>
  <si>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</si>
  <si>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</si>
  <si>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</si>
  <si>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</si>
  <si>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</si>
  <si>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</si>
  <si>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</si>
  <si>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Администрация муниципального  округа "Инта"  Республики Коми                                                            </t>
  </si>
  <si>
    <t>Платежи, уплачиваемые в целях возмещения вреда, причиняемого автомобильным дорогам местного значения тяжеловесными транспортными средствами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</si>
  <si>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</si>
  <si>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</si>
  <si>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182 1 05 04060 02 1000 110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</si>
  <si>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</si>
  <si>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182 1 08 03010 01 0000 110</t>
  </si>
  <si>
    <t>843 1 16 01073 01 0233 140</t>
  </si>
  <si>
    <t xml:space="preserve">Служба Республики Коми строительного, жилищного и технического надзора (контроля) (843)                                                                                                  </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</si>
  <si>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</si>
  <si>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000 1 16 01053 01 9000 140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</si>
  <si>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</si>
  <si>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875 1 16 01063 01 0023 140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</si>
  <si>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</si>
  <si>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 xml:space="preserve">Министерство образования и науки Республики Коми  (875)                                         </t>
  </si>
  <si>
    <t>000 1 16 01063 01 0101 140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</si>
  <si>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</si>
  <si>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182 1 01 02150 01 0000 110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</si>
  <si>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</si>
  <si>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Отдел по управлению муниципальным имуществом администрации муниципального округа "Инта" (963)</t>
  </si>
  <si>
    <t>Отдел по управлению муниципальным имуществом администрации муниципального округа "Инта" (963)</t>
  </si>
  <si>
    <t>963 1 11 05074 14 0000 120</t>
  </si>
  <si>
    <t>Доходы от сдачи в аренду имущества, составляющего казну муниципальных округов (за исключением земельных участков)</t>
  </si>
  <si>
    <t xml:space="preserve">Плата за выбросы загрязняющих веществ в атмосферный воздух стационарными объектами </t>
  </si>
  <si>
    <t>048 1 12 01041 01 0000 120</t>
  </si>
  <si>
    <t>Плата за размещение отходов производства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</si>
  <si>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</si>
  <si>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Министерство юстиции Республики Коми (890)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</si>
  <si>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</si>
  <si>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Министерство юстиции Республики Коми (890)                                   </t>
  </si>
  <si>
    <t xml:space="preserve">Министерство юстиции Республики Коми (890)                                  </t>
  </si>
  <si>
    <t>923 2 02 19999 14 0000 150</t>
  </si>
  <si>
    <t>Субсидии бюджетам муниципальных округов на софинансирование капитальных вложений в объекты муниципальной собственности</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</si>
  <si>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</si>
  <si>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963 2 02 25154 14 0000 150</t>
  </si>
  <si>
    <t>Субсидии бюджетам муниципальных округов на реализацию мероприятий по модернизации коммунальной инфраструктуры</t>
  </si>
  <si>
    <t>Субсидии бюджетам муниципальных округов на поддержку отрасли культуры</t>
  </si>
  <si>
    <t xml:space="preserve"> Отдел культуры администрации муниципального округа "Инта" </t>
  </si>
  <si>
    <t>956 2 02 25519 14 0000 150</t>
  </si>
  <si>
    <t>956 2 02 25590 14 0000 150</t>
  </si>
  <si>
    <t>Субсидии бюджетам муниципальных округов на техническое оснащение региональных и муниципальных музеев</t>
  </si>
  <si>
    <t>975 2 02 25750 14 0000 150</t>
  </si>
  <si>
    <t>Субсидии бюджетам муниципальных округов на реализацию мероприятий по модернизации школьных систем образования</t>
  </si>
  <si>
    <t xml:space="preserve">Отдел образования администрации муниципального округа "Инта"(975) </t>
  </si>
  <si>
    <t>975 2 02 45050 14 0000 150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</si>
  <si>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</si>
  <si>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000 2 02 49999 14 0000 150</t>
  </si>
  <si>
    <t>Прочие межбюджетные трансферты, передаваемые бюджетам муниципальных округов</t>
  </si>
  <si>
    <t>Администрация муниципального округа "Инта" (923)                                                              Отдел образования администрации муниципального округа "Инта" (975)                                                                                   Отдел культуры администрации муниципального округа "Инта" (956)                 Отдел спорта администрации муниципального округа "Инта"(939)</t>
  </si>
  <si>
    <t>182 1 06 01000 00 0000 110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</si>
  <si>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</si>
  <si>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963 1 11 05010 00 0000 120</t>
  </si>
  <si>
    <t>963 1 11 05020 00 0000 120</t>
  </si>
  <si>
    <t>Доходы от сдачи в аренду имущества, составляющего государственную (муниципальную) казну (за исключением земельных участков)</t>
  </si>
  <si>
    <t xml:space="preserve"> 000 1 11 05070 00 0000 120</t>
  </si>
  <si>
    <t xml:space="preserve"> 852 1 16 11060 01 0000 140</t>
  </si>
  <si>
    <t xml:space="preserve">Администрация муниципального округа "Инта"  (923)                                                       Отдел по управлению муниципальным имуществом администрации муниципального округа "Инта"  (963)                                                                                                                     </t>
  </si>
  <si>
    <t>182 1 01 02230 01 0000 110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</si>
  <si>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</si>
  <si>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000 1 16 10061 14 0000 140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</si>
  <si>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</si>
  <si>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Доходы бюджетов муниципальных округов от возврата бюджетными учреждениями остатков субсидий прошлых лет</t>
  </si>
  <si>
    <t>000 2 18 04010 14 0000 150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</si>
  <si>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</si>
  <si>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000 2 19 25304 14 0000 150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</si>
  <si>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</si>
  <si>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</si>
  <si>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</si>
  <si>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</si>
  <si>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182 1 16 10129 01 0000 140</t>
  </si>
  <si>
    <t>000 1 11 09044 14 0001 120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</si>
  <si>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от платы за наем муниципальных жилых помещений)</t>
  </si>
  <si>
    <t>000 1 11 09044 14 0004 120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</si>
  <si>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(прочие доходы)</t>
  </si>
  <si>
    <t xml:space="preserve">  Отдел по управлению муниципальным имуществом администрации муниципального округа "Инта" (963 ) 
 </t>
  </si>
  <si>
    <t>000 1 13 02994 14 0004 130</t>
  </si>
  <si>
    <t>Прочие доходы от компенсации затрат бюджетов муниципальных округов (прочие поступления)</t>
  </si>
  <si>
    <t>000 1 13 02994 14 0005 130</t>
  </si>
  <si>
    <t>Прочие доходы от компенсации затрат бюджетов муниципальных округов (возмещение затрат арендодателя по транспортному налогу)</t>
  </si>
  <si>
    <t xml:space="preserve"> Администрация муниципального округа "Инта"  (923)                                                                                                                                      </t>
  </si>
  <si>
    <t xml:space="preserve"> Администрация муниципального округа "Инта"  (923)                                           Отдел по управлению муниципальным имуществом администрации муниципального округа "Инта"  (963)                                                                                                                                                 Отдел культуры администрации муниципального округа "Инта" (956)                                                                                            </t>
  </si>
  <si>
    <t>000 1 13 02994 14 0006 130</t>
  </si>
  <si>
    <t>Прочие доходы от компенсации затрат бюджетов муниципальных округов (компенсационная стоимость за вырубку зеленых насаждений)</t>
  </si>
  <si>
    <t xml:space="preserve">Отдел по управлению муниципальным имуществом администрации муниципального округа "Инта"  (963)                                                                                                                                                                                                                                        </t>
  </si>
  <si>
    <t>000 1 13 02994 14 0003 130</t>
  </si>
  <si>
    <t>Прочие доходы от компенсации затрат бюджетов муниципальных округов (выполнение работ (услуг) в рамках Федерального закона от 12.01.1996 № 8-ФЗ "О погребении и похоронном деле")</t>
  </si>
  <si>
    <t>Отдел образования администрации муниципального округа "Инта"(975)</t>
  </si>
  <si>
    <t>Субвенция на осуществление первичного воинского учета органами местного самоуправления поселений, муниципальных и городских округов</t>
  </si>
  <si>
    <t>963 2 02 25599 14 0000 150</t>
  </si>
  <si>
    <t>Субсидия на подготовку проектов межевания территории для выполнения комплексных кадастровых работ</t>
  </si>
  <si>
    <t>923 2 02 35118 14 0000 150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</si>
</sst>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0.0"/>
  </numFmts>
  <fonts count="24" x14ac:knownFonts="1">
    <font>
      <sz val="11"/>
      <color theme="1"/>
      <name val="Calibri"/>
      <family val="2"/>
      <charset val="204"/>
      <scheme val="minor"/>
    </font>
    <font>
      <sz val="10"/>
      <color theme="1"/>
      <name val="Times New Roman"/>
      <family val="1"/>
      <charset val="204"/>
    </font>
    <font>
      <sz val="10"/>
      <name val="Arial"/>
      <family val="2"/>
      <charset val="204"/>
    </font>
    <font>
      <b/>
      <sz val="10"/>
      <color theme="1"/>
      <name val="Times New Roman"/>
      <family val="1"/>
      <charset val="204"/>
    </font>
    <font>
      <b/>
      <sz val="10"/>
      <name val="Times New Roman"/>
      <family val="1"/>
      <charset val="204"/>
    </font>
    <font>
      <sz val="10"/>
      <name val="Times New Roman"/>
      <family val="1"/>
      <charset val="204"/>
    </font>
    <font>
      <i/>
      <sz val="10"/>
      <name val="Times New Roman"/>
      <family val="1"/>
      <charset val="204"/>
    </font>
    <font>
      <i/>
      <sz val="10"/>
      <color theme="1"/>
      <name val="Times New Roman"/>
      <family val="1"/>
      <charset val="204"/>
    </font>
    <font>
      <i/>
      <sz val="10"/>
      <color rgb="FFFF0000"/>
      <name val="Times New Roman"/>
      <family val="1"/>
      <charset val="204"/>
    </font>
    <font>
      <sz val="10"/>
      <color rgb="FF000000"/>
      <name val="Times New Roman"/>
      <family val="1"/>
      <charset val="204"/>
    </font>
    <font>
      <i/>
      <sz val="10"/>
      <color rgb="FF000000"/>
      <name val="Times New Roman"/>
      <family val="1"/>
      <charset val="204"/>
    </font>
    <font>
      <b/>
      <sz val="14"/>
      <color theme="1"/>
      <name val="Times New Roman"/>
      <family val="1"/>
      <charset val="204"/>
    </font>
    <font>
      <sz val="10"/>
      <color theme="5" tint="-0.249977111117893"/>
      <name val="Times New Roman"/>
      <family val="1"/>
      <charset val="204"/>
    </font>
    <font>
      <b/>
      <sz val="10"/>
      <color rgb="FF000000"/>
      <name val="Arial"/>
      <family val="2"/>
      <charset val="204"/>
    </font>
    <font>
      <sz val="10"/>
      <color rgb="FF000000"/>
      <name val="Arial"/>
      <family val="2"/>
      <charset val="204"/>
    </font>
    <font>
      <sz val="10"/>
      <color rgb="FF000000"/>
      <name val="Arial Cyr"/>
    </font>
    <font>
      <sz val="10"/>
      <color rgb="FF000000"/>
      <name val="Arial"/>
      <family val="2"/>
      <charset val="204"/>
    </font>
    <font>
      <b/>
      <sz val="10"/>
      <color rgb="FF000000"/>
      <name val="Arial"/>
      <family val="2"/>
      <charset val="204"/>
    </font>
    <font>
      <sz val="10"/>
      <color rgb="FF000000"/>
      <name val="Arial"/>
      <family val="2"/>
      <charset val="204"/>
    </font>
    <font>
      <b/>
      <i/>
      <sz val="14"/>
      <color theme="1"/>
      <name val="Times New Roman"/>
      <family val="1"/>
      <charset val="204"/>
    </font>
    <font>
      <b/>
      <sz val="12"/>
      <color theme="1"/>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theme="0"/>
        <bgColor indexed="64"/>
      </patternFill>
    </fill>
    <fill>
      <patternFill patternType="solid">
        <fgColor rgb="FFF1F5F9"/>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FBFBF"/>
      </right>
      <top/>
      <bottom style="thin">
        <color rgb="FFD9D9D9"/>
      </bottom>
      <diagonal/>
    </border>
    <border>
      <left/>
      <right/>
      <top style="thin">
        <color indexed="64"/>
      </top>
      <bottom/>
      <diagonal/>
    </border>
    <border>
      <left style="thin">
        <color rgb="FFD9D9D9"/>
      </left>
      <right style="thin">
        <color indexed="64"/>
      </right>
      <top style="thin">
        <color indexed="64"/>
      </top>
      <bottom style="thin">
        <color indexed="64"/>
      </bottom>
      <diagonal/>
    </border>
    <border>
      <left style="thin">
        <color rgb="FFD9D9D9"/>
      </left>
      <right/>
      <top/>
      <bottom/>
      <diagonal/>
    </border>
  </borders>
  <cellStyleXfs count="17">
    <xf numFmtId="0" fontId="0" fillId="0" borderId="0"/>
    <xf numFmtId="0" fontId="2" fillId="0" borderId="0"/>
    <xf numFmtId="0" fontId="13" fillId="3" borderId="3">
      <alignment horizontal="left" vertical="top" wrapText="1"/>
    </xf>
    <xf numFmtId="0" fontId="14" fillId="0" borderId="3">
      <alignment horizontal="left" vertical="top" wrapText="1"/>
    </xf>
    <xf numFmtId="49" fontId="15" fillId="0" borderId="4">
      <alignment horizontal="center" vertical="top" shrinkToFit="1"/>
    </xf>
    <xf numFmtId="49" fontId="15" fillId="0" borderId="4">
      <alignment horizontal="center" vertical="top" shrinkToFit="1"/>
    </xf>
    <xf numFmtId="0" fontId="16" fillId="0" borderId="3">
      <alignment horizontal="left" vertical="top" wrapText="1"/>
    </xf>
    <xf numFmtId="0" fontId="16" fillId="0" borderId="3">
      <alignment horizontal="left" vertical="top" wrapText="1"/>
    </xf>
    <xf numFmtId="0" fontId="16" fillId="0" borderId="3">
      <alignment horizontal="left" vertical="top" wrapText="1"/>
    </xf>
    <xf numFmtId="0" fontId="17" fillId="3" borderId="3">
      <alignment horizontal="left" vertical="top" wrapText="1"/>
    </xf>
    <xf numFmtId="0" fontId="16" fillId="0" borderId="3">
      <alignment horizontal="left" vertical="top" wrapText="1"/>
    </xf>
    <xf numFmtId="4" fontId="14" fillId="0" borderId="3">
      <alignment horizontal="right" vertical="top" shrinkToFit="1"/>
    </xf>
    <xf numFmtId="4" fontId="14" fillId="0" borderId="3">
      <alignment horizontal="right" vertical="top" shrinkToFit="1"/>
    </xf>
    <xf numFmtId="0" fontId="18" fillId="0" borderId="3">
      <alignment horizontal="left" vertical="top" wrapText="1"/>
    </xf>
    <xf numFmtId="4" fontId="14" fillId="0" borderId="3">
      <alignment horizontal="right" vertical="top" shrinkToFit="1"/>
    </xf>
    <xf numFmtId="49" fontId="15" fillId="0" borderId="4">
      <alignment horizontal="center" vertical="top" shrinkToFit="1"/>
    </xf>
    <xf numFmtId="4" fontId="14" fillId="0" borderId="5">
      <alignment horizontal="right" vertical="top" shrinkToFit="1"/>
    </xf>
  </cellStyleXfs>
  <cellXfs count="147">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xf>
    <xf numFmtId="0" fontId="1" fillId="0" borderId="1" xfId="0" applyFont="1" applyBorder="1" applyAlignment="1">
      <alignment wrapText="1"/>
    </xf>
    <xf numFmtId="0" fontId="1" fillId="0" borderId="1" xfId="0" applyFont="1" applyBorder="1"/>
    <xf numFmtId="0" fontId="1"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xf>
    <xf numFmtId="0" fontId="1" fillId="0" borderId="1" xfId="0" applyFont="1" applyBorder="1" applyAlignment="1">
      <alignment horizontal="left"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164" fontId="5" fillId="0" borderId="1"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164" fontId="6" fillId="0" borderId="1" xfId="0" applyNumberFormat="1" applyFont="1" applyBorder="1" applyAlignment="1">
      <alignment horizontal="left" vertical="center"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165" fontId="3" fillId="0" borderId="1" xfId="0" applyNumberFormat="1" applyFont="1" applyBorder="1" applyAlignment="1">
      <alignment horizontal="center" vertical="center" wrapText="1"/>
    </xf>
    <xf numFmtId="165" fontId="1" fillId="0"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3" fillId="0" borderId="1" xfId="0" applyFont="1" applyBorder="1"/>
    <xf numFmtId="0" fontId="7" fillId="0" borderId="1" xfId="0" applyFont="1" applyBorder="1" applyAlignment="1">
      <alignment wrapText="1"/>
    </xf>
    <xf numFmtId="0" fontId="7" fillId="0" borderId="1" xfId="0" applyFont="1" applyBorder="1"/>
    <xf numFmtId="165" fontId="7" fillId="0" borderId="1" xfId="0" applyNumberFormat="1" applyFont="1" applyBorder="1" applyAlignment="1">
      <alignment horizontal="center" vertical="center"/>
    </xf>
    <xf numFmtId="0" fontId="3" fillId="0" borderId="1" xfId="0" applyFont="1" applyBorder="1" applyAlignment="1">
      <alignment wrapText="1"/>
    </xf>
    <xf numFmtId="0" fontId="7" fillId="0" borderId="1" xfId="0" applyFont="1" applyBorder="1" applyAlignment="1">
      <alignment horizontal="left" vertical="top" wrapText="1"/>
    </xf>
    <xf numFmtId="49" fontId="1" fillId="0" borderId="1" xfId="0" applyNumberFormat="1" applyFont="1" applyFill="1" applyBorder="1" applyAlignment="1">
      <alignment vertical="top" wrapText="1"/>
    </xf>
    <xf numFmtId="0" fontId="1" fillId="0" borderId="1" xfId="0" applyFont="1" applyFill="1" applyBorder="1" applyAlignment="1">
      <alignment vertical="top" wrapText="1"/>
    </xf>
    <xf numFmtId="49" fontId="7" fillId="0" borderId="1" xfId="0" applyNumberFormat="1" applyFont="1" applyFill="1" applyBorder="1" applyAlignment="1">
      <alignment vertical="top" wrapText="1"/>
    </xf>
    <xf numFmtId="0" fontId="7" fillId="0" borderId="1" xfId="0" applyFont="1" applyFill="1" applyBorder="1" applyAlignment="1">
      <alignment vertical="top" wrapText="1"/>
    </xf>
    <xf numFmtId="165" fontId="1" fillId="0" borderId="0" xfId="0" applyNumberFormat="1" applyFont="1"/>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7" fillId="0" borderId="1" xfId="0" applyFont="1" applyBorder="1" applyAlignment="1">
      <alignment vertical="top" wrapText="1"/>
    </xf>
    <xf numFmtId="0" fontId="6" fillId="0" borderId="1" xfId="0" applyFont="1" applyBorder="1"/>
    <xf numFmtId="0" fontId="7" fillId="0" borderId="1" xfId="0" applyFont="1" applyBorder="1" applyAlignment="1">
      <alignment horizontal="center" vertical="center"/>
    </xf>
    <xf numFmtId="0" fontId="8" fillId="0" borderId="1" xfId="0" applyFont="1" applyBorder="1"/>
    <xf numFmtId="165" fontId="6" fillId="0" borderId="1" xfId="0" applyNumberFormat="1" applyFont="1" applyBorder="1" applyAlignment="1">
      <alignment horizontal="center" vertical="center"/>
    </xf>
    <xf numFmtId="0" fontId="1" fillId="0" borderId="1" xfId="0" applyFont="1" applyBorder="1" applyAlignment="1">
      <alignment vertical="top"/>
    </xf>
    <xf numFmtId="0" fontId="1" fillId="0" borderId="1" xfId="0" applyFont="1" applyBorder="1" applyAlignment="1">
      <alignment horizontal="left" vertical="top"/>
    </xf>
    <xf numFmtId="0" fontId="7" fillId="0" borderId="1" xfId="0" applyFont="1" applyBorder="1" applyAlignment="1">
      <alignment horizontal="left" vertical="top"/>
    </xf>
    <xf numFmtId="0" fontId="5" fillId="0" borderId="1" xfId="0" applyFont="1" applyBorder="1"/>
    <xf numFmtId="165" fontId="5" fillId="0" borderId="1" xfId="0" applyNumberFormat="1" applyFont="1" applyBorder="1" applyAlignment="1">
      <alignment horizontal="center" vertical="center"/>
    </xf>
    <xf numFmtId="0" fontId="1" fillId="0" borderId="0" xfId="0" applyFont="1" applyAlignment="1">
      <alignment vertical="top" wrapText="1"/>
    </xf>
    <xf numFmtId="0" fontId="6" fillId="0" borderId="1" xfId="0" applyFont="1" applyBorder="1" applyAlignment="1">
      <alignment vertical="top"/>
    </xf>
    <xf numFmtId="0" fontId="6" fillId="0" borderId="1" xfId="0" applyFont="1" applyBorder="1" applyAlignment="1">
      <alignment vertical="top" wrapText="1"/>
    </xf>
    <xf numFmtId="0" fontId="9" fillId="0" borderId="1" xfId="0" applyFont="1" applyBorder="1" applyAlignment="1">
      <alignment vertical="top" wrapText="1"/>
    </xf>
    <xf numFmtId="165" fontId="1" fillId="0" borderId="1" xfId="0" applyNumberFormat="1" applyFont="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wrapText="1"/>
    </xf>
    <xf numFmtId="0" fontId="10" fillId="0" borderId="1" xfId="0" applyFont="1" applyBorder="1" applyAlignment="1">
      <alignment horizontal="left" vertical="top" wrapText="1"/>
    </xf>
    <xf numFmtId="0" fontId="1" fillId="0" borderId="1" xfId="0" applyFont="1" applyBorder="1" applyAlignment="1">
      <alignment horizontal="center" vertical="center"/>
    </xf>
    <xf numFmtId="0" fontId="9" fillId="0" borderId="0" xfId="0" applyFont="1" applyAlignment="1">
      <alignment vertical="top" wrapText="1"/>
    </xf>
    <xf numFmtId="0" fontId="1" fillId="2" borderId="0" xfId="0" applyFont="1" applyFill="1"/>
    <xf numFmtId="49"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left" vertical="center" wrapText="1"/>
    </xf>
    <xf numFmtId="0" fontId="1" fillId="2" borderId="1" xfId="0" applyFont="1" applyFill="1" applyBorder="1" applyAlignment="1">
      <alignment vertical="top" wrapText="1"/>
    </xf>
    <xf numFmtId="0" fontId="7" fillId="2" borderId="1" xfId="0" applyFont="1" applyFill="1" applyBorder="1"/>
    <xf numFmtId="165" fontId="7" fillId="2" borderId="1" xfId="0" applyNumberFormat="1" applyFont="1" applyFill="1" applyBorder="1" applyAlignment="1">
      <alignment horizontal="center" vertical="center"/>
    </xf>
    <xf numFmtId="165" fontId="12"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1" fillId="2" borderId="1" xfId="0" applyFont="1" applyFill="1" applyBorder="1" applyAlignment="1">
      <alignment horizontal="center" vertical="top"/>
    </xf>
    <xf numFmtId="0" fontId="1" fillId="2" borderId="0" xfId="0" applyFont="1" applyFill="1" applyAlignment="1">
      <alignment vertical="top"/>
    </xf>
    <xf numFmtId="4" fontId="1" fillId="2" borderId="1" xfId="0" applyNumberFormat="1" applyFont="1" applyFill="1" applyBorder="1" applyAlignment="1">
      <alignment horizontal="center" vertical="top"/>
    </xf>
    <xf numFmtId="0" fontId="4" fillId="2" borderId="1" xfId="0" applyFont="1" applyFill="1" applyBorder="1" applyAlignment="1">
      <alignment vertical="top" wrapText="1"/>
    </xf>
    <xf numFmtId="0" fontId="1" fillId="2" borderId="1" xfId="0" applyFont="1" applyFill="1" applyBorder="1"/>
    <xf numFmtId="0" fontId="1" fillId="2" borderId="1" xfId="0" applyFont="1" applyFill="1" applyBorder="1" applyAlignment="1">
      <alignment vertical="top"/>
    </xf>
    <xf numFmtId="0" fontId="5" fillId="2" borderId="1" xfId="0" applyFont="1" applyFill="1" applyBorder="1" applyAlignment="1">
      <alignment vertical="top" wrapText="1"/>
    </xf>
    <xf numFmtId="0" fontId="3" fillId="2" borderId="1" xfId="0" applyFont="1" applyFill="1" applyBorder="1" applyAlignment="1">
      <alignment vertical="top"/>
    </xf>
    <xf numFmtId="4" fontId="3" fillId="2" borderId="1" xfId="0" applyNumberFormat="1" applyFont="1" applyFill="1" applyBorder="1" applyAlignment="1">
      <alignment horizontal="center" vertical="top"/>
    </xf>
    <xf numFmtId="0" fontId="5" fillId="2" borderId="1" xfId="0" applyFont="1" applyFill="1" applyBorder="1" applyAlignment="1">
      <alignment horizontal="center" vertical="top" wrapText="1"/>
    </xf>
    <xf numFmtId="4" fontId="1" fillId="2" borderId="1" xfId="0" applyNumberFormat="1" applyFont="1" applyFill="1" applyBorder="1" applyAlignment="1">
      <alignment horizontal="center" vertical="top" wrapText="1"/>
    </xf>
    <xf numFmtId="4" fontId="5" fillId="2" borderId="1" xfId="0" applyNumberFormat="1" applyFont="1" applyFill="1" applyBorder="1" applyAlignment="1">
      <alignment horizontal="center" vertical="top"/>
    </xf>
    <xf numFmtId="4" fontId="3" fillId="2" borderId="1" xfId="0" applyNumberFormat="1" applyFont="1" applyFill="1" applyBorder="1" applyAlignment="1">
      <alignment horizontal="center" vertical="top" wrapText="1"/>
    </xf>
    <xf numFmtId="4" fontId="3" fillId="2" borderId="1" xfId="0" applyNumberFormat="1" applyFont="1" applyFill="1" applyBorder="1" applyAlignment="1">
      <alignment horizontal="center" vertical="center" wrapText="1"/>
    </xf>
    <xf numFmtId="49" fontId="4" fillId="2" borderId="1" xfId="0" applyNumberFormat="1" applyFont="1" applyFill="1" applyBorder="1" applyAlignment="1">
      <alignment vertical="top" wrapText="1"/>
    </xf>
    <xf numFmtId="49" fontId="4" fillId="2" borderId="1" xfId="0" applyNumberFormat="1" applyFont="1" applyFill="1" applyBorder="1" applyAlignment="1">
      <alignment horizontal="left" vertical="top" wrapText="1"/>
    </xf>
    <xf numFmtId="49" fontId="5" fillId="2" borderId="1" xfId="0" applyNumberFormat="1" applyFont="1" applyFill="1" applyBorder="1" applyAlignment="1">
      <alignment horizontal="left" vertical="top" wrapText="1"/>
    </xf>
    <xf numFmtId="49" fontId="1" fillId="2" borderId="1" xfId="0" applyNumberFormat="1" applyFont="1" applyFill="1" applyBorder="1" applyAlignment="1">
      <alignment vertical="top" wrapText="1"/>
    </xf>
    <xf numFmtId="49" fontId="5" fillId="2" borderId="1" xfId="0" applyNumberFormat="1" applyFont="1" applyFill="1" applyBorder="1" applyAlignment="1">
      <alignment vertical="top" wrapText="1"/>
    </xf>
    <xf numFmtId="0" fontId="0" fillId="2" borderId="0" xfId="0" applyFill="1"/>
    <xf numFmtId="0" fontId="11" fillId="2" borderId="0" xfId="0" applyFont="1" applyFill="1" applyAlignment="1">
      <alignment horizontal="center"/>
    </xf>
    <xf numFmtId="0" fontId="19" fillId="2" borderId="6" xfId="0" applyFont="1" applyFill="1" applyBorder="1" applyAlignment="1">
      <alignment horizontal="center" vertical="top" wrapText="1"/>
    </xf>
    <xf numFmtId="4" fontId="20" fillId="2" borderId="0" xfId="0" applyNumberFormat="1" applyFont="1" applyFill="1" applyBorder="1"/>
    <xf numFmtId="0" fontId="1" fillId="2" borderId="0" xfId="0" applyFont="1" applyFill="1" applyAlignment="1">
      <alignment horizontal="right"/>
    </xf>
    <xf numFmtId="0" fontId="3" fillId="2" borderId="1" xfId="0" applyFont="1" applyFill="1" applyBorder="1" applyAlignment="1">
      <alignment horizontal="center" vertical="center" wrapText="1"/>
    </xf>
    <xf numFmtId="4" fontId="20" fillId="2" borderId="1" xfId="0" applyNumberFormat="1" applyFont="1" applyFill="1" applyBorder="1" applyAlignment="1">
      <alignment horizontal="center" vertical="top" wrapText="1"/>
    </xf>
    <xf numFmtId="0" fontId="3" fillId="2" borderId="1" xfId="0" applyFont="1" applyFill="1" applyBorder="1" applyAlignment="1">
      <alignment vertical="center"/>
    </xf>
    <xf numFmtId="4" fontId="21" fillId="2" borderId="1" xfId="0" applyNumberFormat="1" applyFont="1" applyFill="1" applyBorder="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0" xfId="0" applyFont="1" applyFill="1"/>
    <xf numFmtId="0" fontId="3" fillId="2" borderId="2" xfId="0" applyFont="1" applyFill="1" applyBorder="1" applyAlignment="1">
      <alignment horizontal="left" vertical="center" wrapText="1"/>
    </xf>
    <xf numFmtId="0" fontId="3" fillId="2" borderId="1" xfId="0" applyFont="1" applyFill="1" applyBorder="1" applyAlignment="1">
      <alignment vertical="top" wrapText="1"/>
    </xf>
    <xf numFmtId="0" fontId="3" fillId="2" borderId="1" xfId="0" applyFont="1" applyFill="1" applyBorder="1" applyAlignment="1">
      <alignment horizontal="left" vertical="top" wrapText="1"/>
    </xf>
    <xf numFmtId="4" fontId="1" fillId="2" borderId="0" xfId="0" applyNumberFormat="1" applyFont="1" applyFill="1" applyAlignment="1">
      <alignment vertical="top"/>
    </xf>
    <xf numFmtId="0" fontId="1" fillId="2" borderId="2" xfId="0" applyFont="1" applyFill="1" applyBorder="1" applyAlignment="1">
      <alignment horizontal="left" vertical="center" wrapText="1"/>
    </xf>
    <xf numFmtId="165" fontId="1" fillId="2" borderId="0" xfId="0" applyNumberFormat="1" applyFont="1" applyFill="1" applyAlignment="1">
      <alignment vertical="top"/>
    </xf>
    <xf numFmtId="164" fontId="5" fillId="2" borderId="1" xfId="0" applyNumberFormat="1" applyFont="1" applyFill="1" applyBorder="1" applyAlignment="1">
      <alignment horizontal="left" vertical="top" wrapText="1"/>
    </xf>
    <xf numFmtId="0" fontId="7" fillId="2" borderId="1" xfId="0" applyFont="1" applyFill="1" applyBorder="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vertical="top"/>
    </xf>
    <xf numFmtId="0" fontId="7"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165" fontId="1" fillId="2" borderId="0" xfId="0" applyNumberFormat="1" applyFont="1" applyFill="1"/>
    <xf numFmtId="0" fontId="1" fillId="2" borderId="0" xfId="0" applyFont="1" applyFill="1" applyAlignment="1">
      <alignment horizontal="center" vertical="top" wrapText="1"/>
    </xf>
    <xf numFmtId="0" fontId="1" fillId="2" borderId="1" xfId="8" applyNumberFormat="1" applyFont="1" applyFill="1" applyBorder="1" applyAlignment="1" applyProtection="1">
      <alignment vertical="top" wrapText="1"/>
    </xf>
    <xf numFmtId="0" fontId="1" fillId="2" borderId="0" xfId="8" applyNumberFormat="1" applyFont="1" applyFill="1" applyBorder="1" applyAlignment="1" applyProtection="1">
      <alignment vertical="top" wrapText="1"/>
    </xf>
    <xf numFmtId="49" fontId="9" fillId="2" borderId="8" xfId="3" applyNumberFormat="1" applyFont="1" applyFill="1" applyBorder="1" applyAlignment="1" applyProtection="1">
      <alignment vertical="top" shrinkToFit="1"/>
    </xf>
    <xf numFmtId="0" fontId="9" fillId="2" borderId="1" xfId="8" applyNumberFormat="1" applyFont="1" applyFill="1" applyBorder="1" applyProtection="1">
      <alignment horizontal="left" vertical="top" wrapText="1"/>
    </xf>
    <xf numFmtId="49" fontId="9" fillId="2" borderId="7" xfId="3" applyNumberFormat="1" applyFont="1" applyFill="1" applyBorder="1" applyAlignment="1" applyProtection="1">
      <alignment vertical="top" shrinkToFit="1"/>
    </xf>
    <xf numFmtId="0" fontId="3" fillId="2" borderId="1" xfId="0" applyFont="1" applyFill="1" applyBorder="1"/>
    <xf numFmtId="49" fontId="9" fillId="2" borderId="1" xfId="15" applyNumberFormat="1" applyFont="1" applyFill="1" applyBorder="1" applyProtection="1">
      <alignment horizontal="center" vertical="top" shrinkToFit="1"/>
    </xf>
    <xf numFmtId="0" fontId="9" fillId="2" borderId="1" xfId="13" applyNumberFormat="1" applyFont="1" applyFill="1" applyBorder="1" applyAlignment="1" applyProtection="1">
      <alignment vertical="top" wrapText="1"/>
    </xf>
    <xf numFmtId="165" fontId="3" fillId="2" borderId="1" xfId="0" applyNumberFormat="1" applyFont="1" applyFill="1" applyBorder="1" applyAlignment="1">
      <alignment horizontal="center" vertical="top"/>
    </xf>
    <xf numFmtId="3" fontId="1" fillId="2" borderId="1" xfId="0" applyNumberFormat="1" applyFont="1" applyFill="1" applyBorder="1" applyAlignment="1">
      <alignment vertical="top"/>
    </xf>
    <xf numFmtId="0" fontId="11" fillId="2" borderId="0" xfId="0" applyFont="1" applyFill="1" applyAlignment="1">
      <alignment horizont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 fillId="0" borderId="0" xfId="0" applyFont="1" applyAlignment="1">
      <alignment horizontal="center"/>
    </xf>
    <xf numFmtId="0" fontId="11" fillId="0" borderId="0" xfId="0" applyFont="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0" xfId="0" applyFont="1" applyFill="1" applyAlignment="1">
      <alignment horizontal="center"/>
    </xf>
    <xf numFmtId="0" fontId="1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1" fillId="2" borderId="1" xfId="0" applyNumberFormat="1" applyFont="1" applyFill="1" applyBorder="1" applyAlignment="1">
      <alignment vertical="top"/>
    </xf>
  </cellXfs>
  <cellStyles count="17">
    <cellStyle name="ex70" xfId="2"/>
    <cellStyle name="ex71" xfId="9"/>
    <cellStyle name="ex75" xfId="15"/>
    <cellStyle name="ex76" xfId="13"/>
    <cellStyle name="ex77" xfId="11"/>
    <cellStyle name="ex79" xfId="16"/>
    <cellStyle name="ex81" xfId="7"/>
    <cellStyle name="ex89" xfId="4"/>
    <cellStyle name="ex90" xfId="3"/>
    <cellStyle name="ex91" xfId="8"/>
    <cellStyle name="ex92" xfId="12"/>
    <cellStyle name="ex94" xfId="5"/>
    <cellStyle name="ex95" xfId="6"/>
    <cellStyle name="ex96" xfId="10"/>
    <cellStyle name="ex97" xfId="14"/>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480" Type="http://schemas.openxmlformats.org/officeDocument/2006/relationships/revisionLog" Target="revisionLog95.xml"/><Relationship Id="rId485" Type="http://schemas.openxmlformats.org/officeDocument/2006/relationships/revisionLog" Target="revisionLog100.xml"/><Relationship Id="rId515" Type="http://schemas.openxmlformats.org/officeDocument/2006/relationships/revisionLog" Target="revisionLog130.xml"/><Relationship Id="rId507" Type="http://schemas.openxmlformats.org/officeDocument/2006/relationships/revisionLog" Target="revisionLog122.xml"/><Relationship Id="rId502" Type="http://schemas.openxmlformats.org/officeDocument/2006/relationships/revisionLog" Target="revisionLog117.xml"/><Relationship Id="rId493" Type="http://schemas.openxmlformats.org/officeDocument/2006/relationships/revisionLog" Target="revisionLog108.xml"/><Relationship Id="rId510" Type="http://schemas.openxmlformats.org/officeDocument/2006/relationships/revisionLog" Target="revisionLog125.xml"/><Relationship Id="rId506" Type="http://schemas.openxmlformats.org/officeDocument/2006/relationships/revisionLog" Target="revisionLog121.xml"/><Relationship Id="rId497" Type="http://schemas.openxmlformats.org/officeDocument/2006/relationships/revisionLog" Target="revisionLog112.xml"/><Relationship Id="rId489" Type="http://schemas.openxmlformats.org/officeDocument/2006/relationships/revisionLog" Target="revisionLog104.xml"/><Relationship Id="rId484" Type="http://schemas.openxmlformats.org/officeDocument/2006/relationships/revisionLog" Target="revisionLog99.xml"/><Relationship Id="rId476" Type="http://schemas.openxmlformats.org/officeDocument/2006/relationships/revisionLog" Target="revisionLog91.xml"/><Relationship Id="rId519" Type="http://schemas.openxmlformats.org/officeDocument/2006/relationships/revisionLog" Target="revisionLog4.xml"/><Relationship Id="rId501" Type="http://schemas.openxmlformats.org/officeDocument/2006/relationships/revisionLog" Target="revisionLog116.xml"/><Relationship Id="rId514" Type="http://schemas.openxmlformats.org/officeDocument/2006/relationships/revisionLog" Target="revisionLog129.xml"/><Relationship Id="rId492" Type="http://schemas.openxmlformats.org/officeDocument/2006/relationships/revisionLog" Target="revisionLog107.xml"/><Relationship Id="rId483" Type="http://schemas.openxmlformats.org/officeDocument/2006/relationships/revisionLog" Target="revisionLog98.xml"/><Relationship Id="rId488" Type="http://schemas.openxmlformats.org/officeDocument/2006/relationships/revisionLog" Target="revisionLog103.xml"/><Relationship Id="rId475" Type="http://schemas.openxmlformats.org/officeDocument/2006/relationships/revisionLog" Target="revisionLog90.xml"/><Relationship Id="rId491" Type="http://schemas.openxmlformats.org/officeDocument/2006/relationships/revisionLog" Target="revisionLog106.xml"/><Relationship Id="rId496" Type="http://schemas.openxmlformats.org/officeDocument/2006/relationships/revisionLog" Target="revisionLog111.xml"/><Relationship Id="rId505" Type="http://schemas.openxmlformats.org/officeDocument/2006/relationships/revisionLog" Target="revisionLog120.xml"/><Relationship Id="rId518" Type="http://schemas.openxmlformats.org/officeDocument/2006/relationships/revisionLog" Target="revisionLog3.xml"/><Relationship Id="rId513" Type="http://schemas.openxmlformats.org/officeDocument/2006/relationships/revisionLog" Target="revisionLog128.xml"/><Relationship Id="rId500" Type="http://schemas.openxmlformats.org/officeDocument/2006/relationships/revisionLog" Target="revisionLog115.xml"/><Relationship Id="rId509" Type="http://schemas.openxmlformats.org/officeDocument/2006/relationships/revisionLog" Target="revisionLog124.xml"/><Relationship Id="rId487" Type="http://schemas.openxmlformats.org/officeDocument/2006/relationships/revisionLog" Target="revisionLog102.xml"/><Relationship Id="rId479" Type="http://schemas.openxmlformats.org/officeDocument/2006/relationships/revisionLog" Target="revisionLog94.xml"/><Relationship Id="rId474" Type="http://schemas.openxmlformats.org/officeDocument/2006/relationships/revisionLog" Target="revisionLog89.xml"/><Relationship Id="rId521" Type="http://schemas.openxmlformats.org/officeDocument/2006/relationships/revisionLog" Target="revisionLog6.xml"/><Relationship Id="rId504" Type="http://schemas.openxmlformats.org/officeDocument/2006/relationships/revisionLog" Target="revisionLog119.xml"/><Relationship Id="rId512" Type="http://schemas.openxmlformats.org/officeDocument/2006/relationships/revisionLog" Target="revisionLog127.xml"/><Relationship Id="rId495" Type="http://schemas.openxmlformats.org/officeDocument/2006/relationships/revisionLog" Target="revisionLog110.xml"/><Relationship Id="rId482" Type="http://schemas.openxmlformats.org/officeDocument/2006/relationships/revisionLog" Target="revisionLog97.xml"/><Relationship Id="rId490" Type="http://schemas.openxmlformats.org/officeDocument/2006/relationships/revisionLog" Target="revisionLog105.xml"/><Relationship Id="rId517" Type="http://schemas.openxmlformats.org/officeDocument/2006/relationships/revisionLog" Target="revisionLog2.xml"/><Relationship Id="rId508" Type="http://schemas.openxmlformats.org/officeDocument/2006/relationships/revisionLog" Target="revisionLog123.xml"/><Relationship Id="rId499" Type="http://schemas.openxmlformats.org/officeDocument/2006/relationships/revisionLog" Target="revisionLog114.xml"/><Relationship Id="rId494" Type="http://schemas.openxmlformats.org/officeDocument/2006/relationships/revisionLog" Target="revisionLog109.xml"/><Relationship Id="rId486" Type="http://schemas.openxmlformats.org/officeDocument/2006/relationships/revisionLog" Target="revisionLog101.xml"/><Relationship Id="rId481" Type="http://schemas.openxmlformats.org/officeDocument/2006/relationships/revisionLog" Target="revisionLog96.xml"/><Relationship Id="rId478" Type="http://schemas.openxmlformats.org/officeDocument/2006/relationships/revisionLog" Target="revisionLog93.xml"/><Relationship Id="rId516" Type="http://schemas.openxmlformats.org/officeDocument/2006/relationships/revisionLog" Target="revisionLog1.xml"/><Relationship Id="rId520" Type="http://schemas.openxmlformats.org/officeDocument/2006/relationships/revisionLog" Target="revisionLog5.xml"/><Relationship Id="rId511" Type="http://schemas.openxmlformats.org/officeDocument/2006/relationships/revisionLog" Target="revisionLog126.xml"/><Relationship Id="rId503" Type="http://schemas.openxmlformats.org/officeDocument/2006/relationships/revisionLog" Target="revisionLog118.xml"/><Relationship Id="rId498" Type="http://schemas.openxmlformats.org/officeDocument/2006/relationships/revisionLog" Target="revisionLog113.xml"/><Relationship Id="rId477" Type="http://schemas.openxmlformats.org/officeDocument/2006/relationships/revisionLog" Target="revisionLog9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1DDE820-1B55-493A-A77E-046788B0B2C9}" diskRevisions="1" revisionId="11279" version="8">
  <header guid="{CD25BFCA-EC95-4D92-A4BC-C5A67B9251E9}" dateTime="2025-10-21T09:39:38" maxSheetId="5" userName="dohod" r:id="rId474" minRId="10804" maxRId="10806">
    <sheetIdMap count="4">
      <sheetId val="1"/>
      <sheetId val="2"/>
      <sheetId val="3"/>
      <sheetId val="4"/>
    </sheetIdMap>
  </header>
  <header guid="{97BC247C-698D-4999-A096-25D5DF610137}" dateTime="2025-10-21T09:40:27" maxSheetId="5" userName="dohod" r:id="rId475">
    <sheetIdMap count="4">
      <sheetId val="1"/>
      <sheetId val="2"/>
      <sheetId val="3"/>
      <sheetId val="4"/>
    </sheetIdMap>
  </header>
  <header guid="{A7793153-A1C8-4D43-B355-6044A93D04AF}" dateTime="2025-10-21T09:47:40" maxSheetId="5" userName="dohod" r:id="rId476" minRId="10814">
    <sheetIdMap count="4">
      <sheetId val="1"/>
      <sheetId val="2"/>
      <sheetId val="3"/>
      <sheetId val="4"/>
    </sheetIdMap>
  </header>
  <header guid="{3DC0D4F9-D912-4A66-8DBE-AC2E263763A1}" dateTime="2025-10-28T11:57:59" maxSheetId="5" userName="dohod" r:id="rId477" minRId="10815" maxRId="10826">
    <sheetIdMap count="4">
      <sheetId val="1"/>
      <sheetId val="2"/>
      <sheetId val="3"/>
      <sheetId val="4"/>
    </sheetIdMap>
  </header>
  <header guid="{3E10C653-FA13-4DB5-97BE-5D4A4764B52B}" dateTime="2025-10-28T13:51:06" maxSheetId="5" userName="dohod" r:id="rId478" minRId="10827" maxRId="10889">
    <sheetIdMap count="4">
      <sheetId val="1"/>
      <sheetId val="2"/>
      <sheetId val="3"/>
      <sheetId val="4"/>
    </sheetIdMap>
  </header>
  <header guid="{4E18810D-54E9-4979-88E8-B0B34681791B}" dateTime="2025-10-28T14:11:41" maxSheetId="5" userName="dohod" r:id="rId479" minRId="10890" maxRId="10895">
    <sheetIdMap count="4">
      <sheetId val="1"/>
      <sheetId val="2"/>
      <sheetId val="3"/>
      <sheetId val="4"/>
    </sheetIdMap>
  </header>
  <header guid="{5197561E-2558-470B-97C2-D02A8A9327C4}" dateTime="2025-10-28T14:25:19" maxSheetId="5" userName="dohod" r:id="rId480" minRId="10896" maxRId="10920">
    <sheetIdMap count="4">
      <sheetId val="1"/>
      <sheetId val="2"/>
      <sheetId val="3"/>
      <sheetId val="4"/>
    </sheetIdMap>
  </header>
  <header guid="{DF517DC4-DA7E-4D79-AE9D-D2F83F01FA0A}" dateTime="2025-10-28T14:29:12" maxSheetId="5" userName="dohod" r:id="rId481" minRId="10921" maxRId="10928">
    <sheetIdMap count="4">
      <sheetId val="1"/>
      <sheetId val="2"/>
      <sheetId val="3"/>
      <sheetId val="4"/>
    </sheetIdMap>
  </header>
  <header guid="{A4703D01-1039-4A92-A487-4C046AC20785}" dateTime="2025-10-28T15:28:09" maxSheetId="5" userName="dohod" r:id="rId482" minRId="10929" maxRId="10937">
    <sheetIdMap count="4">
      <sheetId val="1"/>
      <sheetId val="2"/>
      <sheetId val="3"/>
      <sheetId val="4"/>
    </sheetIdMap>
  </header>
  <header guid="{A690A3CE-53EB-4E56-A46C-978F8413ACD8}" dateTime="2025-10-28T15:39:52" maxSheetId="5" userName="dohod" r:id="rId483" minRId="10938" maxRId="10940">
    <sheetIdMap count="4">
      <sheetId val="1"/>
      <sheetId val="2"/>
      <sheetId val="3"/>
      <sheetId val="4"/>
    </sheetIdMap>
  </header>
  <header guid="{9F49CB9F-9A04-49EC-BEAD-2FE1B30B5871}" dateTime="2025-10-28T15:43:51" maxSheetId="5" userName="dohod" r:id="rId484" minRId="10941" maxRId="10951">
    <sheetIdMap count="4">
      <sheetId val="1"/>
      <sheetId val="2"/>
      <sheetId val="3"/>
      <sheetId val="4"/>
    </sheetIdMap>
  </header>
  <header guid="{CF0F8A92-3B5B-47FB-B978-0212AF95F600}" dateTime="2025-10-28T15:49:33" maxSheetId="5" userName="dohod" r:id="rId485" minRId="10952" maxRId="10963">
    <sheetIdMap count="4">
      <sheetId val="1"/>
      <sheetId val="2"/>
      <sheetId val="3"/>
      <sheetId val="4"/>
    </sheetIdMap>
  </header>
  <header guid="{0915A013-1504-454A-9491-5A6A6C6CE3EA}" dateTime="2025-10-28T15:53:43" maxSheetId="5" userName="dohod" r:id="rId486" minRId="10964" maxRId="10975">
    <sheetIdMap count="4">
      <sheetId val="1"/>
      <sheetId val="2"/>
      <sheetId val="3"/>
      <sheetId val="4"/>
    </sheetIdMap>
  </header>
  <header guid="{8DA3A85D-C1FC-47A5-A2E6-CB3818EA2D1C}" dateTime="2025-10-28T16:07:21" maxSheetId="5" userName="dohod" r:id="rId487" minRId="10976" maxRId="10984">
    <sheetIdMap count="4">
      <sheetId val="1"/>
      <sheetId val="2"/>
      <sheetId val="3"/>
      <sheetId val="4"/>
    </sheetIdMap>
  </header>
  <header guid="{271AF3DF-C424-4F1C-A8BA-685A797B2644}" dateTime="2025-10-28T16:31:42" maxSheetId="5" userName="dohod" r:id="rId488" minRId="10985" maxRId="11012">
    <sheetIdMap count="4">
      <sheetId val="1"/>
      <sheetId val="2"/>
      <sheetId val="3"/>
      <sheetId val="4"/>
    </sheetIdMap>
  </header>
  <header guid="{B4A60D30-5473-4ABE-84C0-D3D58852E073}" dateTime="2025-10-28T16:50:15" maxSheetId="5" userName="dohod" r:id="rId489" minRId="11013" maxRId="11056">
    <sheetIdMap count="4">
      <sheetId val="1"/>
      <sheetId val="2"/>
      <sheetId val="3"/>
      <sheetId val="4"/>
    </sheetIdMap>
  </header>
  <header guid="{34BBC9A5-E811-4446-98F7-B7FC6EC4C29D}" dateTime="2025-10-28T16:59:29" maxSheetId="5" userName="dohod" r:id="rId490" minRId="11057" maxRId="11074">
    <sheetIdMap count="4">
      <sheetId val="1"/>
      <sheetId val="2"/>
      <sheetId val="3"/>
      <sheetId val="4"/>
    </sheetIdMap>
  </header>
  <header guid="{D5AC1024-AB65-4A1B-B5F8-100D328C38D4}" dateTime="2025-10-28T17:23:15" maxSheetId="5" userName="Зыкова Светалана" r:id="rId491" minRId="11075" maxRId="11077">
    <sheetIdMap count="4">
      <sheetId val="1"/>
      <sheetId val="2"/>
      <sheetId val="3"/>
      <sheetId val="4"/>
    </sheetIdMap>
  </header>
  <header guid="{522EB355-3B9A-4095-B818-C92561A953BE}" dateTime="2025-10-28T17:26:20" maxSheetId="5" userName="Зыкова Светалана" r:id="rId492">
    <sheetIdMap count="4">
      <sheetId val="1"/>
      <sheetId val="2"/>
      <sheetId val="3"/>
      <sheetId val="4"/>
    </sheetIdMap>
  </header>
  <header guid="{3C554B12-1B20-4AA2-9568-A2FF344F2F58}" dateTime="2025-10-29T09:06:07" maxSheetId="5" userName="dohod" r:id="rId493" minRId="11085" maxRId="11126">
    <sheetIdMap count="4">
      <sheetId val="1"/>
      <sheetId val="2"/>
      <sheetId val="3"/>
      <sheetId val="4"/>
    </sheetIdMap>
  </header>
  <header guid="{AF25F88E-EA3F-401A-B248-AA04B270E963}" dateTime="2025-10-29T09:06:35" maxSheetId="5" userName="dohod" r:id="rId494">
    <sheetIdMap count="4">
      <sheetId val="1"/>
      <sheetId val="2"/>
      <sheetId val="3"/>
      <sheetId val="4"/>
    </sheetIdMap>
  </header>
  <header guid="{B5342CEA-9863-4241-8537-47DBA38246F7}" dateTime="2025-10-29T09:07:14" maxSheetId="5" userName="dohod" r:id="rId495">
    <sheetIdMap count="4">
      <sheetId val="1"/>
      <sheetId val="2"/>
      <sheetId val="3"/>
      <sheetId val="4"/>
    </sheetIdMap>
  </header>
  <header guid="{90BC2E28-8AFB-4644-8BE3-1906D908965C}" dateTime="2025-10-29T09:35:05" maxSheetId="5" userName="dohod" r:id="rId496" minRId="11127" maxRId="11135">
    <sheetIdMap count="4">
      <sheetId val="1"/>
      <sheetId val="2"/>
      <sheetId val="3"/>
      <sheetId val="4"/>
    </sheetIdMap>
  </header>
  <header guid="{0ED1C078-9318-4192-AC30-BA96ECD8EAD0}" dateTime="2025-10-29T09:39:15" maxSheetId="5" userName="dohod" r:id="rId497">
    <sheetIdMap count="4">
      <sheetId val="1"/>
      <sheetId val="2"/>
      <sheetId val="3"/>
      <sheetId val="4"/>
    </sheetIdMap>
  </header>
  <header guid="{6F4A4CE8-48B3-4B09-AA51-03D36E1686B7}" dateTime="2025-11-06T14:46:00" maxSheetId="5" userName="dohod" r:id="rId498" minRId="11143" maxRId="11148">
    <sheetIdMap count="4">
      <sheetId val="1"/>
      <sheetId val="2"/>
      <sheetId val="3"/>
      <sheetId val="4"/>
    </sheetIdMap>
  </header>
  <header guid="{AD392038-A418-4FA5-AB4A-D89B0C480DD4}" dateTime="2025-11-06T14:52:03" maxSheetId="5" userName="dohod" r:id="rId499" minRId="11149" maxRId="11160">
    <sheetIdMap count="4">
      <sheetId val="1"/>
      <sheetId val="2"/>
      <sheetId val="3"/>
      <sheetId val="4"/>
    </sheetIdMap>
  </header>
  <header guid="{16E4CF6F-37BE-4CD3-B277-E7C6E64E3F3A}" dateTime="2025-11-06T15:12:51" maxSheetId="5" userName="dohod" r:id="rId500" minRId="11161" maxRId="11168">
    <sheetIdMap count="4">
      <sheetId val="1"/>
      <sheetId val="2"/>
      <sheetId val="3"/>
      <sheetId val="4"/>
    </sheetIdMap>
  </header>
  <header guid="{22CC6533-888F-4718-A68C-C722FDAB5063}" dateTime="2025-11-06T15:14:15" maxSheetId="5" userName="dohod" r:id="rId501" minRId="11169" maxRId="11170">
    <sheetIdMap count="4">
      <sheetId val="1"/>
      <sheetId val="2"/>
      <sheetId val="3"/>
      <sheetId val="4"/>
    </sheetIdMap>
  </header>
  <header guid="{F1678C10-26D1-4F68-910D-9A2338BFFBC7}" dateTime="2025-11-06T15:18:19" maxSheetId="5" userName="dohod" r:id="rId502" minRId="11171" maxRId="11174">
    <sheetIdMap count="4">
      <sheetId val="1"/>
      <sheetId val="2"/>
      <sheetId val="3"/>
      <sheetId val="4"/>
    </sheetIdMap>
  </header>
  <header guid="{F1F73E7C-3CD1-46DC-8C47-064B9FFF1AE6}" dateTime="2025-11-06T15:20:00" maxSheetId="5" userName="dohod" r:id="rId503" minRId="11175">
    <sheetIdMap count="4">
      <sheetId val="1"/>
      <sheetId val="2"/>
      <sheetId val="3"/>
      <sheetId val="4"/>
    </sheetIdMap>
  </header>
  <header guid="{109EE40E-7D35-4942-B8F0-180D4A9513AC}" dateTime="2025-11-06T16:18:38" maxSheetId="5" userName="dohod" r:id="rId504" minRId="11176" maxRId="11205">
    <sheetIdMap count="4">
      <sheetId val="1"/>
      <sheetId val="2"/>
      <sheetId val="3"/>
      <sheetId val="4"/>
    </sheetIdMap>
  </header>
  <header guid="{1AFA3D0B-2287-4B2B-86C7-C0ADD7BD4A3C}" dateTime="2025-11-06T16:22:52" maxSheetId="5" userName="dohod" r:id="rId505" minRId="11206" maxRId="11211">
    <sheetIdMap count="4">
      <sheetId val="1"/>
      <sheetId val="2"/>
      <sheetId val="3"/>
      <sheetId val="4"/>
    </sheetIdMap>
  </header>
  <header guid="{703EC442-DB68-4FB1-9E76-96A2262B30DD}" dateTime="2025-11-06T16:29:57" maxSheetId="5" userName="dohod" r:id="rId506" minRId="11220">
    <sheetIdMap count="4">
      <sheetId val="1"/>
      <sheetId val="2"/>
      <sheetId val="3"/>
      <sheetId val="4"/>
    </sheetIdMap>
  </header>
  <header guid="{1E0ADC3C-A6BC-425E-A7E0-E27910AD4C37}" dateTime="2025-11-06T16:40:41" maxSheetId="5" userName="dohod" r:id="rId507" minRId="11229" maxRId="11231">
    <sheetIdMap count="4">
      <sheetId val="1"/>
      <sheetId val="2"/>
      <sheetId val="3"/>
      <sheetId val="4"/>
    </sheetIdMap>
  </header>
  <header guid="{09941CA4-2C7A-4559-9DC5-609E4EFD30CF}" dateTime="2025-11-06T17:04:45" maxSheetId="5" userName="dohod" r:id="rId508" minRId="11232">
    <sheetIdMap count="4">
      <sheetId val="1"/>
      <sheetId val="2"/>
      <sheetId val="3"/>
      <sheetId val="4"/>
    </sheetIdMap>
  </header>
  <header guid="{A9B9901F-C2B0-4C0B-A41A-133D06DCBFC1}" dateTime="2025-11-07T09:33:13" maxSheetId="5" userName="dohod" r:id="rId509" minRId="11233" maxRId="11240">
    <sheetIdMap count="4">
      <sheetId val="1"/>
      <sheetId val="2"/>
      <sheetId val="3"/>
      <sheetId val="4"/>
    </sheetIdMap>
  </header>
  <header guid="{F1C3A4EB-9AFA-4D9E-8FC4-07F1C5CA347E}" dateTime="2025-11-07T10:30:34" maxSheetId="5" userName="dohod" r:id="rId510" minRId="11241">
    <sheetIdMap count="4">
      <sheetId val="1"/>
      <sheetId val="2"/>
      <sheetId val="3"/>
      <sheetId val="4"/>
    </sheetIdMap>
  </header>
  <header guid="{F4AEB98F-98A6-4F0C-9DAC-3F1E0BF373F5}" dateTime="2025-11-07T10:36:35" maxSheetId="5" userName="dohod" r:id="rId511" minRId="11242">
    <sheetIdMap count="4">
      <sheetId val="1"/>
      <sheetId val="2"/>
      <sheetId val="3"/>
      <sheetId val="4"/>
    </sheetIdMap>
  </header>
  <header guid="{F2A97E2D-DDA4-4A6D-A898-DFEDEBA768BB}" dateTime="2025-11-07T11:22:25" maxSheetId="5" userName="dohod" r:id="rId512" minRId="11243" maxRId="11245">
    <sheetIdMap count="4">
      <sheetId val="1"/>
      <sheetId val="2"/>
      <sheetId val="3"/>
      <sheetId val="4"/>
    </sheetIdMap>
  </header>
  <header guid="{1EE68507-D9E1-449B-9EC8-505C064760E6}" dateTime="2025-11-07T11:30:15" maxSheetId="5" userName="dohod" r:id="rId513" minRId="11246">
    <sheetIdMap count="4">
      <sheetId val="1"/>
      <sheetId val="2"/>
      <sheetId val="3"/>
      <sheetId val="4"/>
    </sheetIdMap>
  </header>
  <header guid="{02643859-BE01-4C3D-A277-E183D166DFE6}" dateTime="2025-11-08T09:08:33" maxSheetId="5" userName="dohod" r:id="rId514" minRId="11247" maxRId="11249">
    <sheetIdMap count="4">
      <sheetId val="1"/>
      <sheetId val="2"/>
      <sheetId val="3"/>
      <sheetId val="4"/>
    </sheetIdMap>
  </header>
  <header guid="{87C3DBE3-A34C-4713-A7C3-777D6D0F41BD}" dateTime="2025-11-08T10:06:31" maxSheetId="5" userName="dohod" r:id="rId515" minRId="11258">
    <sheetIdMap count="4">
      <sheetId val="1"/>
      <sheetId val="2"/>
      <sheetId val="3"/>
      <sheetId val="4"/>
    </sheetIdMap>
  </header>
  <header guid="{BDDAE3EC-8E57-4B53-A962-03B348535E53}" dateTime="2025-11-08T11:24:09" maxSheetId="5" userName="dohod" r:id="rId516" minRId="11259">
    <sheetIdMap count="4">
      <sheetId val="1"/>
      <sheetId val="2"/>
      <sheetId val="3"/>
      <sheetId val="4"/>
    </sheetIdMap>
  </header>
  <header guid="{18025CDD-691D-415C-A0A5-395423BB8DE2}" dateTime="2025-11-08T11:24:48" maxSheetId="5" userName="dohod" r:id="rId517" minRId="11268">
    <sheetIdMap count="4">
      <sheetId val="1"/>
      <sheetId val="2"/>
      <sheetId val="3"/>
      <sheetId val="4"/>
    </sheetIdMap>
  </header>
  <header guid="{EC4E41EB-EC18-46F8-8814-B49BC680521B}" dateTime="2025-11-08T11:25:05" maxSheetId="5" userName="dohod" r:id="rId518">
    <sheetIdMap count="4">
      <sheetId val="1"/>
      <sheetId val="2"/>
      <sheetId val="3"/>
      <sheetId val="4"/>
    </sheetIdMap>
  </header>
  <header guid="{C7EC5C3B-A1A6-47A2-9DB4-98B066F9CE04}" dateTime="2025-11-08T11:31:32" maxSheetId="5" userName="dohod" r:id="rId519">
    <sheetIdMap count="4">
      <sheetId val="1"/>
      <sheetId val="2"/>
      <sheetId val="3"/>
      <sheetId val="4"/>
    </sheetIdMap>
  </header>
  <header guid="{98AF79DF-8C85-4C12-9E53-C941504F9071}" dateTime="2025-11-08T13:29:45" maxSheetId="5" userName="dohod" r:id="rId520" minRId="11269">
    <sheetIdMap count="4">
      <sheetId val="1"/>
      <sheetId val="2"/>
      <sheetId val="3"/>
      <sheetId val="4"/>
    </sheetIdMap>
  </header>
  <header guid="{11DDE820-1B55-493A-A77E-046788B0B2C9}" dateTime="2025-11-08T14:40:08" maxSheetId="5" userName="dohod" r:id="rId521" minRId="11270" maxRId="11271">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59" sId="2" numFmtId="4">
    <oc r="I152">
      <v>0</v>
    </oc>
    <nc r="I152">
      <v>365704186.63999999</v>
    </nc>
  </rcc>
  <rcv guid="{65685584-75D0-4A51-AE28-5C7D20707FBD}" action="delete"/>
  <rdn rId="0" localSheetId="1" customView="1" name="Z_65685584_75D0_4A51_AE28_5C7D20707FBD_.wvu.PrintArea" hidden="1" oldHidden="1">
    <formula>'на 01.07.'!$A$4:$L$175</formula>
    <oldFormula>'на 01.07.'!$A$4:$L$175</oldFormula>
  </rdn>
  <rdn rId="0" localSheetId="1" customView="1" name="Z_65685584_75D0_4A51_AE28_5C7D20707FBD_.wvu.PrintTitles" hidden="1" oldHidden="1">
    <formula>'на 01.07.'!$4:$6</formula>
    <oldFormula>'на 01.07.'!$4:$6</oldFormula>
  </rdn>
  <rdn rId="0" localSheetId="1" customView="1" name="Z_65685584_75D0_4A51_AE28_5C7D20707FBD_.wvu.Cols" hidden="1" oldHidden="1">
    <formula>'на 01.07.'!$A:$B,'на 01.07.'!$F:$F</formula>
    <oldFormula>'на 01.07.'!$A:$B,'на 01.07.'!$F:$F</oldFormula>
  </rdn>
  <rdn rId="0" localSheetId="2" customView="1" name="Z_65685584_75D0_4A51_AE28_5C7D20707FBD_.wvu.PrintArea" hidden="1" oldHidden="1">
    <formula>Лист1!$C$1:$M$175</formula>
    <oldFormula>Лист1!$C$1:$M$175</oldFormula>
  </rdn>
  <rdn rId="0" localSheetId="2" customView="1" name="Z_65685584_75D0_4A51_AE28_5C7D20707FBD_.wvu.PrintTitles" hidden="1" oldHidden="1">
    <formula>Лист1!$5:$7</formula>
    <oldFormula>Лист1!$5:$7</oldFormula>
  </rdn>
  <rdn rId="0" localSheetId="2" customView="1" name="Z_65685584_75D0_4A51_AE28_5C7D20707FBD_.wvu.Rows" hidden="1" oldHidden="1">
    <formula>Лист1!$104:$104,Лист1!$106:$107,Лист1!$109:$109,Лист1!$125:$125,Лист1!$127:$127,Лист1!$133:$133</formula>
    <oldFormula>Лист1!$104:$104,Лист1!$106:$107,Лист1!$109:$109,Лист1!$125:$125,Лист1!$127:$127,Лист1!$133:$133</oldFormula>
  </rdn>
  <rdn rId="0" localSheetId="2" customView="1" name="Z_65685584_75D0_4A51_AE28_5C7D20707FBD_.wvu.Cols" hidden="1" oldHidden="1">
    <formula>Лист1!$A:$B,Лист1!$F:$F,Лист1!$N:$N</formula>
    <oldFormula>Лист1!$A:$B,Лист1!$F:$F,Лист1!$N:$N</oldFormula>
  </rdn>
  <rdn rId="0" localSheetId="2" customView="1" name="Z_65685584_75D0_4A51_AE28_5C7D20707FBD_.wvu.FilterData" hidden="1" oldHidden="1">
    <formula>Лист1!$C$141:$M$175</formula>
    <oldFormula>Лист1!$C$141:$M$175</oldFormula>
  </rdn>
  <rcv guid="{65685584-75D0-4A51-AE28-5C7D20707FBD}" action="add"/>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52" sId="2" odxf="1" dxf="1">
    <oc r="I43">
      <f>I44+I46</f>
    </oc>
    <nc r="I43">
      <f>I44+I46</f>
    </nc>
    <odxf>
      <fill>
        <patternFill>
          <bgColor theme="0"/>
        </patternFill>
      </fill>
    </odxf>
    <ndxf>
      <fill>
        <patternFill>
          <bgColor theme="3" tint="0.59999389629810485"/>
        </patternFill>
      </fill>
    </ndxf>
  </rcc>
  <rcc rId="10953" sId="2" odxf="1" dxf="1">
    <oc r="J43">
      <f>J44+J46</f>
    </oc>
    <nc r="J43">
      <f>J44+J46</f>
    </nc>
    <odxf>
      <font>
        <b val="0"/>
        <sz val="10"/>
        <name val="Times New Roman"/>
        <scheme val="none"/>
      </font>
      <fill>
        <patternFill>
          <bgColor theme="0"/>
        </patternFill>
      </fill>
    </odxf>
    <ndxf>
      <font>
        <b/>
        <sz val="10"/>
        <name val="Times New Roman"/>
        <scheme val="none"/>
      </font>
      <fill>
        <patternFill>
          <bgColor theme="3" tint="0.59999389629810485"/>
        </patternFill>
      </fill>
    </ndxf>
  </rcc>
  <rcc rId="10954" sId="2" odxf="1" dxf="1">
    <oc r="K43">
      <f>K44+K46</f>
    </oc>
    <nc r="K43">
      <f>K44+K46</f>
    </nc>
    <odxf>
      <fill>
        <patternFill>
          <bgColor theme="0"/>
        </patternFill>
      </fill>
    </odxf>
    <ndxf>
      <fill>
        <patternFill>
          <bgColor theme="3" tint="0.59999389629810485"/>
        </patternFill>
      </fill>
    </ndxf>
  </rcc>
  <rcc rId="10955" sId="2" odxf="1" dxf="1">
    <oc r="L43">
      <f>L44+L46</f>
    </oc>
    <nc r="L43">
      <f>L44+L46</f>
    </nc>
    <odxf>
      <fill>
        <patternFill>
          <bgColor theme="0"/>
        </patternFill>
      </fill>
    </odxf>
    <ndxf>
      <fill>
        <patternFill>
          <bgColor theme="3" tint="0.59999389629810485"/>
        </patternFill>
      </fill>
    </ndxf>
  </rcc>
  <rcc rId="10956" sId="2" odxf="1" dxf="1">
    <oc r="M43">
      <f>M44+M46</f>
    </oc>
    <nc r="M43">
      <f>M44+M46</f>
    </nc>
    <odxf>
      <fill>
        <patternFill>
          <bgColor theme="0"/>
        </patternFill>
      </fill>
    </odxf>
    <ndxf>
      <fill>
        <patternFill>
          <bgColor theme="3" tint="0.59999389629810485"/>
        </patternFill>
      </fill>
    </ndxf>
  </rcc>
  <rcc rId="10957" sId="2" numFmtId="4">
    <oc r="L48">
      <v>540000</v>
    </oc>
    <nc r="L48">
      <f>540000+5000</f>
    </nc>
  </rcc>
  <rcc rId="10958" sId="2" numFmtId="4">
    <oc r="K45">
      <v>0</v>
    </oc>
    <nc r="K45">
      <v>4560000</v>
    </nc>
  </rcc>
  <rcc rId="10959" sId="2" numFmtId="4">
    <oc r="L45">
      <v>0</v>
    </oc>
    <nc r="L45">
      <v>4910000</v>
    </nc>
  </rcc>
  <rcc rId="10960" sId="2" numFmtId="4">
    <oc r="M45">
      <v>0</v>
    </oc>
    <nc r="M45">
      <v>5000000</v>
    </nc>
  </rcc>
  <rfmt sheetId="2" sqref="K45:M45">
    <dxf>
      <fill>
        <patternFill>
          <bgColor rgb="FFFFFF00"/>
        </patternFill>
      </fill>
    </dxf>
  </rfmt>
  <rcc rId="10961" sId="2" numFmtId="4">
    <oc r="K62">
      <v>260000</v>
    </oc>
    <nc r="K62">
      <v>440000</v>
    </nc>
  </rcc>
  <rcc rId="10962" sId="2" numFmtId="4">
    <oc r="L62">
      <v>290000</v>
    </oc>
    <nc r="L62">
      <v>450000</v>
    </nc>
  </rcc>
  <rcc rId="10963" sId="2" numFmtId="4">
    <oc r="M62">
      <v>310000</v>
    </oc>
    <nc r="M62">
      <v>460000</v>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64" sId="2">
    <oc r="I63">
      <f>I64</f>
    </oc>
    <nc r="I63">
      <f>SUM(I64)</f>
    </nc>
  </rcc>
  <rcc rId="10965" sId="2" odxf="1" dxf="1">
    <oc r="J63">
      <f>I63-G63</f>
    </oc>
    <nc r="J63">
      <f>SUM(J64)</f>
    </nc>
    <odxf>
      <font>
        <b/>
        <sz val="10"/>
        <name val="Times New Roman"/>
        <scheme val="none"/>
      </font>
    </odxf>
    <ndxf>
      <font>
        <b val="0"/>
        <sz val="10"/>
        <name val="Times New Roman"/>
        <scheme val="none"/>
      </font>
    </ndxf>
  </rcc>
  <rcc rId="10966" sId="2" numFmtId="4">
    <oc r="K63">
      <v>1150000</v>
    </oc>
    <nc r="K63">
      <f>SUM(K64)</f>
    </nc>
  </rcc>
  <rcc rId="10967" sId="2" numFmtId="4">
    <oc r="L63">
      <v>1150000</v>
    </oc>
    <nc r="L63">
      <f>SUM(L64)</f>
    </nc>
  </rcc>
  <rcc rId="10968" sId="2" numFmtId="4">
    <oc r="M63">
      <v>1200000</v>
    </oc>
    <nc r="M63">
      <f>SUM(M64)</f>
    </nc>
  </rcc>
  <rcc rId="10969" sId="2">
    <oc r="I65">
      <f>I66</f>
    </oc>
    <nc r="I65">
      <f>SUM(I66)</f>
    </nc>
  </rcc>
  <rcc rId="10970" sId="2">
    <oc r="J65">
      <f>I65-G65</f>
    </oc>
    <nc r="J65">
      <f>SUM(J66)</f>
    </nc>
  </rcc>
  <rcc rId="10971" sId="2" numFmtId="4">
    <oc r="K65">
      <v>50000</v>
    </oc>
    <nc r="K65">
      <f>SUM(K66)</f>
    </nc>
  </rcc>
  <rcc rId="10972" sId="2" numFmtId="4">
    <oc r="L65">
      <v>50500</v>
    </oc>
    <nc r="L65">
      <f>SUM(L66)</f>
    </nc>
  </rcc>
  <rcc rId="10973" sId="2" numFmtId="4">
    <oc r="M65">
      <v>61000</v>
    </oc>
    <nc r="M65">
      <f>SUM(M66)</f>
    </nc>
  </rcc>
  <rcc rId="10974" sId="2">
    <oc r="L64">
      <v>950000</v>
    </oc>
    <nc r="L64">
      <f>950000+20800</f>
    </nc>
  </rcc>
  <rcc rId="10975" sId="2" numFmtId="4">
    <oc r="M64">
      <v>1000000</v>
    </oc>
    <nc r="M64">
      <f>1000000-27000</f>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76" sId="2" numFmtId="4">
    <oc r="K68">
      <v>21000000</v>
    </oc>
    <nc r="K68">
      <f>21000000+500000</f>
    </nc>
  </rcc>
  <rcc rId="10977" sId="2" numFmtId="4">
    <oc r="L68">
      <v>20500000</v>
    </oc>
    <nc r="L68">
      <f>20500000+1500000</f>
    </nc>
  </rcc>
  <rcc rId="10978" sId="2" numFmtId="4">
    <oc r="M68">
      <v>20000000</v>
    </oc>
    <nc r="M68">
      <f>20000000+2500000</f>
    </nc>
  </rcc>
  <rcc rId="10979" sId="2" numFmtId="4">
    <oc r="K100">
      <v>290000</v>
    </oc>
    <nc r="K100">
      <f>290000+10000</f>
    </nc>
  </rcc>
  <rcc rId="10980" sId="2" numFmtId="4">
    <oc r="L100">
      <v>290000</v>
    </oc>
    <nc r="L100">
      <f>290000+20000</f>
    </nc>
  </rcc>
  <rcc rId="10981" sId="2" numFmtId="4">
    <oc r="M100">
      <v>290000</v>
    </oc>
    <nc r="M100">
      <f>290000+30000</f>
    </nc>
  </rcc>
  <rcc rId="10982" sId="2" numFmtId="4">
    <oc r="K73">
      <v>250000</v>
    </oc>
    <nc r="K73">
      <f>250000+1600000</f>
    </nc>
  </rcc>
  <rcc rId="10983" sId="2" numFmtId="4">
    <oc r="L73">
      <v>190000</v>
    </oc>
    <nc r="L73">
      <f>190000+1700000</f>
    </nc>
  </rcc>
  <rcc rId="10984" sId="2" numFmtId="4">
    <oc r="M73">
      <v>120000</v>
    </oc>
    <nc r="M73">
      <f>120000+1800000</f>
    </nc>
  </rcc>
  <rcmt sheetId="2" cell="K73" guid="{D09A0B8F-0A06-4394-9434-6A224147E371}" author="dohod" oldLength="21" newLength="16"/>
  <rcmt sheetId="2" cell="L73" guid="{61E8A68F-429A-4F76-B475-2345C8D7B23F}" author="dohod" oldLength="21" newLength="16"/>
  <rcmt sheetId="2" cell="M73" guid="{C993F0FA-ABC4-4CCD-A19A-97DC39AB8030}" author="dohod" oldLength="22" newLength="16"/>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85" sId="2" numFmtId="4">
    <oc r="K85">
      <v>70000</v>
    </oc>
    <nc r="K85">
      <v>80000</v>
    </nc>
  </rcc>
  <rcc rId="10986" sId="2" numFmtId="4">
    <oc r="L85">
      <v>70000</v>
    </oc>
    <nc r="L85">
      <v>90000</v>
    </nc>
  </rcc>
  <rcc rId="10987" sId="2" numFmtId="4">
    <oc r="M85">
      <v>70000</v>
    </oc>
    <nc r="M85">
      <v>100000</v>
    </nc>
  </rcc>
  <rfmt sheetId="2" sqref="K85:M85">
    <dxf>
      <fill>
        <patternFill>
          <bgColor rgb="FFFFFF00"/>
        </patternFill>
      </fill>
    </dxf>
  </rfmt>
  <rfmt sheetId="2" sqref="K88:M88">
    <dxf>
      <fill>
        <patternFill>
          <bgColor rgb="FFFFFF00"/>
        </patternFill>
      </fill>
    </dxf>
  </rfmt>
  <rcc rId="10988" sId="2" numFmtId="4">
    <oc r="K90">
      <f>550000+1000000+100000</f>
    </oc>
    <nc r="K90">
      <v>0</v>
    </nc>
  </rcc>
  <rcc rId="10989" sId="2" numFmtId="4">
    <oc r="M90">
      <f>550000+1000000+100000</f>
    </oc>
    <nc r="M90">
      <v>0</v>
    </nc>
  </rcc>
  <rcc rId="10990" sId="2" numFmtId="4">
    <oc r="L90">
      <f>550000+1000000+100000</f>
    </oc>
    <nc r="L90">
      <v>0</v>
    </nc>
  </rcc>
  <rcc rId="10991" sId="2" numFmtId="4">
    <oc r="K91">
      <v>0</v>
    </oc>
    <nc r="K91">
      <v>100000</v>
    </nc>
  </rcc>
  <rcc rId="10992" sId="2" numFmtId="4">
    <oc r="L91">
      <v>0</v>
    </oc>
    <nc r="L91">
      <v>100000</v>
    </nc>
  </rcc>
  <rcc rId="10993" sId="2" numFmtId="4">
    <oc r="M91">
      <v>0</v>
    </oc>
    <nc r="M91">
      <v>100000</v>
    </nc>
  </rcc>
  <rcc rId="10994" sId="2" numFmtId="4">
    <oc r="K92">
      <f>550000+1000000+100000</f>
    </oc>
    <nc r="K92">
      <v>100000</v>
    </nc>
  </rcc>
  <rcc rId="10995" sId="2" numFmtId="4">
    <oc r="L92">
      <f>550000+1000000+100000</f>
    </oc>
    <nc r="L92">
      <v>100000</v>
    </nc>
  </rcc>
  <rcc rId="10996" sId="2" numFmtId="4">
    <oc r="M92">
      <f>550000+1000000+100000</f>
    </oc>
    <nc r="M92">
      <v>100000</v>
    </nc>
  </rcc>
  <rcc rId="10997" sId="2">
    <oc r="I89">
      <f>I95+I93</f>
    </oc>
    <nc r="I89">
      <f>I90+I91+I92+I93</f>
    </nc>
  </rcc>
  <rcc rId="10998" sId="2" odxf="1" dxf="1">
    <oc r="J89">
      <f>J95+J93</f>
    </oc>
    <nc r="J89">
      <f>J90+J91+J92+J93</f>
    </nc>
    <odxf>
      <fill>
        <patternFill patternType="solid">
          <bgColor theme="0"/>
        </patternFill>
      </fill>
    </odxf>
    <ndxf>
      <fill>
        <patternFill patternType="none">
          <bgColor indexed="65"/>
        </patternFill>
      </fill>
    </ndxf>
  </rcc>
  <rcc rId="10999" sId="2">
    <oc r="K89">
      <f>K95+K93</f>
    </oc>
    <nc r="K89">
      <f>K90+K91+K92+K93</f>
    </nc>
  </rcc>
  <rcc rId="11000" sId="2">
    <oc r="L89">
      <f>L95+L93</f>
    </oc>
    <nc r="L89">
      <f>L90+L91+L92+L93</f>
    </nc>
  </rcc>
  <rcc rId="11001" sId="2">
    <oc r="M89">
      <f>M95+M93</f>
    </oc>
    <nc r="M89">
      <f>M90+M91+M92+M93</f>
    </nc>
  </rcc>
  <rcc rId="11002" sId="2" odxf="1" dxf="1">
    <oc r="I82">
      <f>I83+I86</f>
    </oc>
    <nc r="I82">
      <f>I83+I86</f>
    </nc>
    <odxf>
      <fill>
        <patternFill>
          <bgColor theme="0"/>
        </patternFill>
      </fill>
    </odxf>
    <ndxf>
      <fill>
        <patternFill>
          <bgColor theme="3" tint="0.59999389629810485"/>
        </patternFill>
      </fill>
    </ndxf>
  </rcc>
  <rcc rId="11003" sId="2" odxf="1" dxf="1">
    <oc r="J82">
      <f>J83+J86</f>
    </oc>
    <nc r="J82">
      <f>J83+J86</f>
    </nc>
    <odxf>
      <fill>
        <patternFill>
          <bgColor theme="0"/>
        </patternFill>
      </fill>
    </odxf>
    <ndxf>
      <fill>
        <patternFill>
          <bgColor theme="3" tint="0.59999389629810485"/>
        </patternFill>
      </fill>
    </ndxf>
  </rcc>
  <rfmt sheetId="2" sqref="K82" start="0" length="0">
    <dxf>
      <fill>
        <patternFill>
          <bgColor theme="3" tint="0.59999389629810485"/>
        </patternFill>
      </fill>
    </dxf>
  </rfmt>
  <rfmt sheetId="2" sqref="L82" start="0" length="0">
    <dxf>
      <fill>
        <patternFill>
          <bgColor theme="3" tint="0.59999389629810485"/>
        </patternFill>
      </fill>
    </dxf>
  </rfmt>
  <rfmt sheetId="2" sqref="M82" start="0" length="0">
    <dxf>
      <fill>
        <patternFill>
          <bgColor theme="3" tint="0.59999389629810485"/>
        </patternFill>
      </fill>
    </dxf>
  </rfmt>
  <rcc rId="11004" sId="2" odxf="1" dxf="1">
    <oc r="K86">
      <f>K87</f>
    </oc>
    <nc r="K86">
      <f>K87+K89</f>
    </nc>
    <odxf>
      <fill>
        <patternFill>
          <bgColor theme="0"/>
        </patternFill>
      </fill>
    </odxf>
    <ndxf>
      <fill>
        <patternFill>
          <bgColor rgb="FFFF0000"/>
        </patternFill>
      </fill>
    </ndxf>
  </rcc>
  <rcc rId="11005" sId="2" odxf="1" dxf="1">
    <oc r="L86">
      <f>L87</f>
    </oc>
    <nc r="L86">
      <f>L87+L89</f>
    </nc>
    <odxf>
      <fill>
        <patternFill>
          <bgColor theme="0"/>
        </patternFill>
      </fill>
    </odxf>
    <ndxf>
      <fill>
        <patternFill>
          <bgColor rgb="FFFF0000"/>
        </patternFill>
      </fill>
    </ndxf>
  </rcc>
  <rcc rId="11006" sId="2" odxf="1" dxf="1">
    <oc r="M86">
      <f>M87</f>
    </oc>
    <nc r="M86">
      <f>M87+M89</f>
    </nc>
    <odxf>
      <fill>
        <patternFill>
          <bgColor theme="0"/>
        </patternFill>
      </fill>
    </odxf>
    <ndxf>
      <fill>
        <patternFill>
          <bgColor rgb="FFFF0000"/>
        </patternFill>
      </fill>
    </ndxf>
  </rcc>
  <rcc rId="11007" sId="2">
    <oc r="K82">
      <f>K83+K86</f>
    </oc>
    <nc r="K82">
      <f>K83+K86</f>
    </nc>
  </rcc>
  <rcc rId="11008" sId="2">
    <oc r="L82">
      <f>L83+L86</f>
    </oc>
    <nc r="L82">
      <f>L83+L86</f>
    </nc>
  </rcc>
  <rcc rId="11009" sId="2">
    <oc r="M82">
      <f>M83+M86</f>
    </oc>
    <nc r="M82">
      <f>M83+M86</f>
    </nc>
  </rcc>
  <rcc rId="11010" sId="2">
    <oc r="K88">
      <v>7000000</v>
    </oc>
    <nc r="K88">
      <f>7000000+1200000+15000</f>
    </nc>
  </rcc>
  <rcc rId="11011" sId="2">
    <oc r="L88">
      <v>7500000</v>
    </oc>
    <nc r="L88">
      <f>7500000+1300000+73200</f>
    </nc>
  </rcc>
  <rcc rId="11012" sId="2">
    <oc r="M88">
      <v>8000000</v>
    </oc>
    <nc r="M88">
      <f>8000000+1400000+10000</f>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13" sId="2" numFmtId="4">
    <oc r="K119">
      <v>100000</v>
    </oc>
    <nc r="K119">
      <v>200000</v>
    </nc>
  </rcc>
  <rcc rId="11014" sId="2" numFmtId="4">
    <oc r="L119">
      <v>100000</v>
    </oc>
    <nc r="L119">
      <v>200000</v>
    </nc>
  </rcc>
  <rcc rId="11015" sId="2" numFmtId="4">
    <oc r="M119">
      <v>100000</v>
    </oc>
    <nc r="M119">
      <v>200000</v>
    </nc>
  </rcc>
  <rfmt sheetId="2" sqref="K119:M119">
    <dxf>
      <fill>
        <patternFill>
          <bgColor rgb="FFFFFF00"/>
        </patternFill>
      </fill>
    </dxf>
  </rfmt>
  <rcc rId="11016" sId="2" numFmtId="4">
    <oc r="K124">
      <v>200000</v>
    </oc>
    <nc r="K124">
      <v>110000</v>
    </nc>
  </rcc>
  <rcc rId="11017" sId="2" numFmtId="4">
    <oc r="L124">
      <v>200000</v>
    </oc>
    <nc r="L124">
      <v>110000</v>
    </nc>
  </rcc>
  <rcc rId="11018" sId="2" numFmtId="4">
    <oc r="M124">
      <v>200000</v>
    </oc>
    <nc r="M124">
      <v>110000</v>
    </nc>
  </rcc>
  <rfmt sheetId="2" sqref="K124:M124">
    <dxf>
      <fill>
        <patternFill patternType="solid">
          <bgColor rgb="FFFFFF00"/>
        </patternFill>
      </fill>
    </dxf>
  </rfmt>
  <rfmt sheetId="2" sqref="K128:M128">
    <dxf>
      <fill>
        <patternFill>
          <bgColor rgb="FFFFFF00"/>
        </patternFill>
      </fill>
    </dxf>
  </rfmt>
  <rcc rId="11019" sId="2" numFmtId="4">
    <oc r="L112">
      <v>31100</v>
    </oc>
    <nc r="L112">
      <v>5000</v>
    </nc>
  </rcc>
  <rcc rId="11020" sId="2" numFmtId="4">
    <oc r="M112">
      <v>31100</v>
    </oc>
    <nc r="M112">
      <v>5000</v>
    </nc>
  </rcc>
  <rfmt sheetId="2" sqref="K112:M112">
    <dxf>
      <fill>
        <patternFill>
          <bgColor rgb="FFFFFF00"/>
        </patternFill>
      </fill>
    </dxf>
  </rfmt>
  <rcc rId="11021" sId="2" numFmtId="4">
    <oc r="K115">
      <v>186700</v>
    </oc>
    <nc r="K115">
      <v>50000</v>
    </nc>
  </rcc>
  <rcc rId="11022" sId="2" numFmtId="4">
    <oc r="L115">
      <v>197600</v>
    </oc>
    <nc r="L115">
      <v>50000</v>
    </nc>
  </rcc>
  <rcc rId="11023" sId="2" numFmtId="4">
    <oc r="M115">
      <v>197600</v>
    </oc>
    <nc r="M115">
      <v>50000</v>
    </nc>
  </rcc>
  <rfmt sheetId="2" sqref="K115:M115">
    <dxf>
      <fill>
        <patternFill>
          <bgColor rgb="FFFFFF00"/>
        </patternFill>
      </fill>
    </dxf>
  </rfmt>
  <rcc rId="11024" sId="2" numFmtId="4">
    <oc r="K105">
      <v>407500</v>
    </oc>
    <nc r="K105"/>
  </rcc>
  <rcc rId="11025" sId="2" numFmtId="4">
    <oc r="L105">
      <v>545600</v>
    </oc>
    <nc r="L105"/>
  </rcc>
  <rcc rId="11026" sId="2" numFmtId="4">
    <oc r="M105">
      <v>545600</v>
    </oc>
    <nc r="M105"/>
  </rcc>
  <rcc rId="11027" sId="2" numFmtId="4">
    <oc r="K106">
      <v>407500</v>
    </oc>
    <nc r="K106"/>
  </rcc>
  <rcc rId="11028" sId="2" numFmtId="4">
    <oc r="L106">
      <v>545600</v>
    </oc>
    <nc r="L106"/>
  </rcc>
  <rcc rId="11029" sId="2" numFmtId="4">
    <oc r="M106">
      <v>545600</v>
    </oc>
    <nc r="M106"/>
  </rcc>
  <rcc rId="11030" sId="2" numFmtId="4">
    <oc r="K107">
      <v>407500</v>
    </oc>
    <nc r="K107"/>
  </rcc>
  <rcc rId="11031" sId="2" numFmtId="4">
    <oc r="L107">
      <v>545600</v>
    </oc>
    <nc r="L107"/>
  </rcc>
  <rcc rId="11032" sId="2" numFmtId="4">
    <oc r="M107">
      <v>545600</v>
    </oc>
    <nc r="M107"/>
  </rcc>
  <rcc rId="11033" sId="2" numFmtId="4">
    <oc r="K108">
      <v>53600</v>
    </oc>
    <nc r="K108"/>
  </rcc>
  <rcc rId="11034" sId="2" numFmtId="4">
    <oc r="L108">
      <v>70800</v>
    </oc>
    <nc r="L108"/>
  </rcc>
  <rcc rId="11035" sId="2" numFmtId="4">
    <oc r="M108">
      <v>70800</v>
    </oc>
    <nc r="M108"/>
  </rcc>
  <rcc rId="11036" sId="2" numFmtId="4">
    <oc r="K109">
      <v>53600</v>
    </oc>
    <nc r="K109"/>
  </rcc>
  <rcc rId="11037" sId="2" numFmtId="4">
    <oc r="L109">
      <v>70800</v>
    </oc>
    <nc r="L109"/>
  </rcc>
  <rcc rId="11038" sId="2" numFmtId="4">
    <oc r="M109">
      <v>70800</v>
    </oc>
    <nc r="M109"/>
  </rcc>
  <rcc rId="11039" sId="2" numFmtId="4">
    <oc r="K110">
      <v>20300</v>
    </oc>
    <nc r="K110"/>
  </rcc>
  <rcc rId="11040" sId="2" numFmtId="4">
    <oc r="L110">
      <v>20300</v>
    </oc>
    <nc r="L110"/>
  </rcc>
  <rcc rId="11041" sId="2" numFmtId="4">
    <oc r="M110">
      <v>20300</v>
    </oc>
    <nc r="M110"/>
  </rcc>
  <rcc rId="11042" sId="2" numFmtId="4">
    <oc r="K111">
      <v>2700</v>
    </oc>
    <nc r="K111"/>
  </rcc>
  <rcc rId="11043" sId="2" numFmtId="4">
    <oc r="L111">
      <v>2700</v>
    </oc>
    <nc r="L111"/>
  </rcc>
  <rcc rId="11044" sId="2" numFmtId="4">
    <oc r="M111">
      <v>2700</v>
    </oc>
    <nc r="M111"/>
  </rcc>
  <rcc rId="11045" sId="2" numFmtId="4">
    <oc r="K113">
      <v>24500</v>
    </oc>
    <nc r="K113"/>
  </rcc>
  <rcc rId="11046" sId="2" numFmtId="4">
    <oc r="L113">
      <v>24500</v>
    </oc>
    <nc r="L113"/>
  </rcc>
  <rcc rId="11047" sId="2" numFmtId="4">
    <oc r="M113">
      <v>24500</v>
    </oc>
    <nc r="M113"/>
  </rcc>
  <rcc rId="11048" sId="2" numFmtId="4">
    <oc r="K114">
      <v>15200</v>
    </oc>
    <nc r="K114"/>
  </rcc>
  <rcc rId="11049" sId="2" numFmtId="4">
    <oc r="L114">
      <v>15200</v>
    </oc>
    <nc r="L114"/>
  </rcc>
  <rcc rId="11050" sId="2" numFmtId="4">
    <oc r="M114">
      <v>15200</v>
    </oc>
    <nc r="M114"/>
  </rcc>
  <rcc rId="11051" sId="2" numFmtId="4">
    <oc r="K116">
      <v>432400</v>
    </oc>
    <nc r="K116"/>
  </rcc>
  <rcc rId="11052" sId="2" numFmtId="4">
    <oc r="L116">
      <v>537100</v>
    </oc>
    <nc r="L116"/>
  </rcc>
  <rcc rId="11053" sId="2" numFmtId="4">
    <oc r="M116">
      <v>537100</v>
    </oc>
    <nc r="M116"/>
  </rcc>
  <rcc rId="11054" sId="2" numFmtId="4">
    <oc r="K117">
      <v>25000</v>
    </oc>
    <nc r="K117"/>
  </rcc>
  <rcc rId="11055" sId="2" numFmtId="4">
    <oc r="L117">
      <v>125000</v>
    </oc>
    <nc r="L117"/>
  </rcc>
  <rcc rId="11056" sId="2" numFmtId="4">
    <oc r="M117">
      <v>125000</v>
    </oc>
    <nc r="M117"/>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57" sId="2" numFmtId="4">
    <nc r="K104">
      <v>581410</v>
    </nc>
  </rcc>
  <rcc rId="11058" sId="2" numFmtId="4">
    <nc r="L104">
      <v>581410</v>
    </nc>
  </rcc>
  <rcc rId="11059" sId="2" numFmtId="4">
    <nc r="M104">
      <v>581410</v>
    </nc>
  </rcc>
  <rcc rId="11060" sId="2" numFmtId="4">
    <nc r="K105">
      <v>799231</v>
    </nc>
  </rcc>
  <rcc rId="11061" sId="2" numFmtId="4">
    <nc r="L105">
      <v>799231</v>
    </nc>
  </rcc>
  <rcc rId="11062" sId="2" numFmtId="4">
    <nc r="M105">
      <v>799231</v>
    </nc>
  </rcc>
  <rfmt sheetId="2" sqref="K104:M105">
    <dxf>
      <fill>
        <patternFill>
          <bgColor rgb="FFFFFF00"/>
        </patternFill>
      </fill>
    </dxf>
  </rfmt>
  <rcc rId="11063" sId="2" numFmtId="4">
    <nc r="K108">
      <v>92000</v>
    </nc>
  </rcc>
  <rcc rId="11064" sId="2" numFmtId="4">
    <nc r="L108">
      <v>92000</v>
    </nc>
  </rcc>
  <rcc rId="11065" sId="2" numFmtId="4">
    <nc r="M108">
      <v>92000</v>
    </nc>
  </rcc>
  <rfmt sheetId="2" sqref="K108:M108">
    <dxf>
      <fill>
        <patternFill>
          <bgColor rgb="FFFFFF00"/>
        </patternFill>
      </fill>
    </dxf>
  </rfmt>
  <rcc rId="11066" sId="2" numFmtId="4">
    <nc r="K110">
      <v>43670</v>
    </nc>
  </rcc>
  <rcc rId="11067" sId="2" numFmtId="4">
    <nc r="L110">
      <v>43670</v>
    </nc>
  </rcc>
  <rcc rId="11068" sId="2" numFmtId="4">
    <nc r="M110">
      <v>43670</v>
    </nc>
  </rcc>
  <rfmt sheetId="2" sqref="K110:M110">
    <dxf>
      <fill>
        <patternFill>
          <bgColor rgb="FFFFFF00"/>
        </patternFill>
      </fill>
    </dxf>
  </rfmt>
  <rcc rId="11069" sId="2" numFmtId="4">
    <nc r="K111">
      <v>2000</v>
    </nc>
  </rcc>
  <rcc rId="11070" sId="2" numFmtId="4">
    <nc r="L111">
      <v>2000</v>
    </nc>
  </rcc>
  <rcc rId="11071" sId="2" numFmtId="4">
    <nc r="M111">
      <v>2000</v>
    </nc>
  </rcc>
  <rfmt sheetId="2" sqref="K111:M111">
    <dxf>
      <fill>
        <patternFill>
          <bgColor rgb="FFFFFF00"/>
        </patternFill>
      </fill>
    </dxf>
  </rfmt>
  <rcc rId="11072" sId="2" numFmtId="4">
    <oc r="K112">
      <v>5000</v>
    </oc>
    <nc r="K112">
      <f>5000+8700</f>
    </nc>
  </rcc>
  <rcc rId="11073" sId="2" numFmtId="4">
    <oc r="L112">
      <v>5000</v>
    </oc>
    <nc r="L112">
      <f>5000+8700</f>
    </nc>
  </rcc>
  <rcc rId="11074" sId="2" numFmtId="4">
    <oc r="M112">
      <v>5000</v>
    </oc>
    <nc r="M112">
      <f>5000+8700</f>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75" sId="2" odxf="1" dxf="1">
    <oc r="K60">
      <f>K61+K63</f>
    </oc>
    <nc r="K60">
      <f>K61+K63+K65+K67+K69+K71</f>
    </nc>
    <odxf>
      <fill>
        <patternFill patternType="none">
          <bgColor indexed="65"/>
        </patternFill>
      </fill>
    </odxf>
    <ndxf>
      <fill>
        <patternFill patternType="solid">
          <bgColor theme="3" tint="0.59999389629810485"/>
        </patternFill>
      </fill>
    </ndxf>
  </rcc>
  <rcc rId="11076" sId="2" odxf="1" dxf="1">
    <oc r="L60">
      <f>L61+L63</f>
    </oc>
    <nc r="L60">
      <f>L61+L63+L65+L67+L69+L71</f>
    </nc>
    <odxf>
      <fill>
        <patternFill patternType="none">
          <bgColor indexed="65"/>
        </patternFill>
      </fill>
    </odxf>
    <ndxf>
      <fill>
        <patternFill patternType="solid">
          <bgColor theme="3" tint="0.59999389629810485"/>
        </patternFill>
      </fill>
    </ndxf>
  </rcc>
  <rcc rId="11077" sId="2" odxf="1" dxf="1">
    <oc r="M60">
      <f>M61+M63</f>
    </oc>
    <nc r="M60">
      <f>M61+M63+M65+M67+M69+M71</f>
    </nc>
    <odxf>
      <fill>
        <patternFill patternType="none">
          <bgColor indexed="65"/>
        </patternFill>
      </fill>
    </odxf>
    <ndxf>
      <fill>
        <patternFill patternType="solid">
          <bgColor theme="3" tint="0.59999389629810485"/>
        </patternFill>
      </fill>
    </ndxf>
  </rcc>
  <rdn rId="0" localSheetId="1" customView="1" name="Z_7BFFC2A3_0F28_4D31_9AD3_1E3078AA223D_.wvu.PrintArea" hidden="1" oldHidden="1">
    <formula>'на 01.07.'!$A$4:$L$175</formula>
  </rdn>
  <rdn rId="0" localSheetId="1" customView="1" name="Z_7BFFC2A3_0F28_4D31_9AD3_1E3078AA223D_.wvu.PrintTitles" hidden="1" oldHidden="1">
    <formula>'на 01.07.'!$4:$6</formula>
  </rdn>
  <rdn rId="0" localSheetId="1" customView="1" name="Z_7BFFC2A3_0F28_4D31_9AD3_1E3078AA223D_.wvu.Cols" hidden="1" oldHidden="1">
    <formula>'на 01.07.'!$A:$B,'на 01.07.'!$F:$F</formula>
  </rdn>
  <rdn rId="0" localSheetId="2" customView="1" name="Z_7BFFC2A3_0F28_4D31_9AD3_1E3078AA223D_.wvu.PrintArea" hidden="1" oldHidden="1">
    <formula>Лист1!$C$1:$M$175</formula>
  </rdn>
  <rdn rId="0" localSheetId="2" customView="1" name="Z_7BFFC2A3_0F28_4D31_9AD3_1E3078AA223D_.wvu.PrintTitles" hidden="1" oldHidden="1">
    <formula>Лист1!$5:$7</formula>
  </rdn>
  <rdn rId="0" localSheetId="2" customView="1" name="Z_7BFFC2A3_0F28_4D31_9AD3_1E3078AA223D_.wvu.Cols" hidden="1" oldHidden="1">
    <formula>Лист1!$A:$B,Лист1!$F:$F,Лист1!$N:$N</formula>
  </rdn>
  <rdn rId="0" localSheetId="2" customView="1" name="Z_7BFFC2A3_0F28_4D31_9AD3_1E3078AA223D_.wvu.FilterData" hidden="1" oldHidden="1">
    <formula>Лист1!$C$7:$M$175</formula>
  </rdn>
  <rcv guid="{7BFFC2A3-0F28-4D31-9AD3-1E3078AA223D}" action="add"/>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K60:M60">
    <dxf>
      <fill>
        <patternFill>
          <bgColor theme="0" tint="-4.9989318521683403E-2"/>
        </patternFill>
      </fill>
    </dxf>
  </rfmt>
  <rfmt sheetId="2" sqref="K60:M60">
    <dxf>
      <fill>
        <patternFill>
          <bgColor theme="0"/>
        </patternFill>
      </fill>
    </dxf>
  </rfmt>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K118:M118">
    <dxf>
      <fill>
        <patternFill>
          <bgColor rgb="FF92D050"/>
        </patternFill>
      </fill>
    </dxf>
  </rfmt>
  <rfmt sheetId="2" sqref="K10:M10">
    <dxf>
      <fill>
        <patternFill>
          <bgColor rgb="FF92D050"/>
        </patternFill>
      </fill>
    </dxf>
  </rfmt>
  <rfmt sheetId="2" sqref="K60">
    <dxf>
      <fill>
        <patternFill>
          <bgColor rgb="FF92D050"/>
        </patternFill>
      </fill>
    </dxf>
  </rfmt>
  <rfmt sheetId="2" sqref="L60:M60">
    <dxf>
      <fill>
        <patternFill>
          <bgColor rgb="FF92D050"/>
        </patternFill>
      </fill>
    </dxf>
  </rfmt>
  <rcc rId="11085" sId="2" numFmtId="4">
    <oc r="K76">
      <v>599200</v>
    </oc>
    <nc r="K76">
      <v>0</v>
    </nc>
  </rcc>
  <rcc rId="11086" sId="2" numFmtId="4">
    <oc r="L76">
      <v>599200</v>
    </oc>
    <nc r="L76">
      <v>0</v>
    </nc>
  </rcc>
  <rcc rId="11087" sId="2" numFmtId="4">
    <oc r="M76">
      <v>599200</v>
    </oc>
    <nc r="M76">
      <v>0</v>
    </nc>
  </rcc>
  <rcc rId="11088" sId="2" numFmtId="4">
    <oc r="K78">
      <v>1288000</v>
    </oc>
    <nc r="K78">
      <v>0</v>
    </nc>
  </rcc>
  <rcc rId="11089" sId="2" numFmtId="4">
    <oc r="L78">
      <v>1288000</v>
    </oc>
    <nc r="L78">
      <v>0</v>
    </nc>
  </rcc>
  <rcc rId="11090" sId="2" numFmtId="4">
    <oc r="M78">
      <v>1288000</v>
    </oc>
    <nc r="M78">
      <v>0</v>
    </nc>
  </rcc>
  <rcc rId="11091" sId="2" numFmtId="4">
    <oc r="K80">
      <v>266000</v>
    </oc>
    <nc r="K80">
      <v>0</v>
    </nc>
  </rcc>
  <rcc rId="11092" sId="2" numFmtId="4">
    <oc r="L80">
      <v>266000</v>
    </oc>
    <nc r="L80">
      <v>0</v>
    </nc>
  </rcc>
  <rcc rId="11093" sId="2" numFmtId="4">
    <oc r="M80">
      <v>266000</v>
    </oc>
    <nc r="M80">
      <v>0</v>
    </nc>
  </rcc>
  <rfmt sheetId="2" sqref="K94:M94">
    <dxf>
      <fill>
        <patternFill>
          <bgColor rgb="FF92D050"/>
        </patternFill>
      </fill>
    </dxf>
  </rfmt>
  <rfmt sheetId="2" sqref="K137">
    <dxf>
      <fill>
        <patternFill>
          <bgColor rgb="FF92D050"/>
        </patternFill>
      </fill>
    </dxf>
  </rfmt>
  <rfmt sheetId="2" sqref="K113:M113">
    <dxf>
      <fill>
        <patternFill>
          <bgColor rgb="FFFFFF00"/>
        </patternFill>
      </fill>
    </dxf>
  </rfmt>
  <rfmt sheetId="2" sqref="K114:M114">
    <dxf>
      <fill>
        <patternFill>
          <bgColor rgb="FFFFFF00"/>
        </patternFill>
      </fill>
    </dxf>
  </rfmt>
  <rcc rId="11094" sId="2" numFmtId="4">
    <oc r="K115">
      <v>50000</v>
    </oc>
    <nc r="K115">
      <f>50000+274300</f>
    </nc>
  </rcc>
  <rcc rId="11095" sId="2" numFmtId="4">
    <oc r="L115">
      <v>50000</v>
    </oc>
    <nc r="L115">
      <f>50000+274300</f>
    </nc>
  </rcc>
  <rcc rId="11096" sId="2" numFmtId="4">
    <oc r="M115">
      <v>50000</v>
    </oc>
    <nc r="M115">
      <f>50000+274300</f>
    </nc>
  </rcc>
  <rfmt sheetId="2" sqref="K116:M116">
    <dxf>
      <fill>
        <patternFill>
          <bgColor rgb="FFFFFF00"/>
        </patternFill>
      </fill>
    </dxf>
  </rfmt>
  <rfmt sheetId="2" sqref="K117:M117">
    <dxf>
      <fill>
        <patternFill>
          <bgColor rgb="FFFFFF00"/>
        </patternFill>
      </fill>
    </dxf>
  </rfmt>
  <rcc rId="11097" sId="2" numFmtId="4">
    <oc r="K104">
      <v>581410</v>
    </oc>
    <nc r="K104">
      <v>587000</v>
    </nc>
  </rcc>
  <rcc rId="11098" sId="2" numFmtId="4">
    <oc r="L104">
      <v>581410</v>
    </oc>
    <nc r="L104">
      <v>587000</v>
    </nc>
  </rcc>
  <rcc rId="11099" sId="2" numFmtId="4">
    <oc r="M104">
      <v>581410</v>
    </oc>
    <nc r="M104">
      <v>587000</v>
    </nc>
  </rcc>
  <rcc rId="11100" sId="2" numFmtId="4">
    <oc r="K105">
      <v>799231</v>
    </oc>
    <nc r="K105">
      <v>812200</v>
    </nc>
  </rcc>
  <rcc rId="11101" sId="2" numFmtId="4">
    <oc r="L105">
      <v>799231</v>
    </oc>
    <nc r="L105">
      <v>812200</v>
    </nc>
  </rcc>
  <rcc rId="11102" sId="2" numFmtId="4">
    <oc r="M105">
      <v>799231</v>
    </oc>
    <nc r="M105">
      <v>812200</v>
    </nc>
  </rcc>
  <rcc rId="11103" sId="2" numFmtId="4">
    <oc r="K108">
      <v>92000</v>
    </oc>
    <nc r="K108">
      <v>94300</v>
    </nc>
  </rcc>
  <rcc rId="11104" sId="2" numFmtId="4">
    <oc r="L108">
      <v>92000</v>
    </oc>
    <nc r="L108">
      <v>94300</v>
    </nc>
  </rcc>
  <rcc rId="11105" sId="2" numFmtId="4">
    <oc r="M108">
      <v>92000</v>
    </oc>
    <nc r="M108">
      <v>94300</v>
    </nc>
  </rcc>
  <rcc rId="11106" sId="2" numFmtId="4">
    <oc r="K110">
      <v>43670</v>
    </oc>
    <nc r="K110">
      <v>44000</v>
    </nc>
  </rcc>
  <rcc rId="11107" sId="2" numFmtId="4">
    <oc r="L110">
      <v>43670</v>
    </oc>
    <nc r="L110">
      <v>44000</v>
    </nc>
  </rcc>
  <rcc rId="11108" sId="2" numFmtId="4">
    <oc r="M110">
      <v>43670</v>
    </oc>
    <nc r="M110">
      <v>44000</v>
    </nc>
  </rcc>
  <rcc rId="11109" sId="2" numFmtId="4">
    <oc r="K112">
      <f>5000+8700</f>
    </oc>
    <nc r="K112">
      <v>14000</v>
    </nc>
  </rcc>
  <rcc rId="11110" sId="2" numFmtId="4">
    <oc r="L112">
      <f>5000+8700</f>
    </oc>
    <nc r="L112">
      <v>14000</v>
    </nc>
  </rcc>
  <rcc rId="11111" sId="2" numFmtId="4">
    <oc r="M112">
      <f>5000+8700</f>
    </oc>
    <nc r="M112">
      <v>14000</v>
    </nc>
  </rcc>
  <rcc rId="11112" sId="2" numFmtId="4">
    <nc r="K113">
      <v>21700</v>
    </nc>
  </rcc>
  <rcc rId="11113" sId="2" numFmtId="4">
    <nc r="L113">
      <v>21700</v>
    </nc>
  </rcc>
  <rcc rId="11114" sId="2" numFmtId="4">
    <nc r="M113">
      <v>21700</v>
    </nc>
  </rcc>
  <rcc rId="11115" sId="2" numFmtId="4">
    <nc r="K114">
      <v>97600</v>
    </nc>
  </rcc>
  <rcc rId="11116" sId="2" numFmtId="4">
    <nc r="L114">
      <v>97600</v>
    </nc>
  </rcc>
  <rcc rId="11117" sId="2" numFmtId="4">
    <nc r="M114">
      <v>97600</v>
    </nc>
  </rcc>
  <rcc rId="11118" sId="2" numFmtId="4">
    <nc r="K117">
      <v>67000</v>
    </nc>
  </rcc>
  <rcc rId="11119" sId="2" numFmtId="4">
    <nc r="L117">
      <v>67000</v>
    </nc>
  </rcc>
  <rcc rId="11120" sId="2" numFmtId="4">
    <nc r="M117">
      <v>67000</v>
    </nc>
  </rcc>
  <rcc rId="11121" sId="2" numFmtId="4">
    <nc r="K116">
      <v>815900</v>
    </nc>
  </rcc>
  <rcc rId="11122" sId="2" numFmtId="4">
    <nc r="L116">
      <v>815900</v>
    </nc>
  </rcc>
  <rcc rId="11123" sId="2" numFmtId="4">
    <nc r="M116">
      <v>815900</v>
    </nc>
  </rcc>
  <rfmt sheetId="2" sqref="K101:M101">
    <dxf>
      <fill>
        <patternFill>
          <bgColor rgb="FF92D050"/>
        </patternFill>
      </fill>
    </dxf>
  </rfmt>
  <rcc rId="11124" sId="2">
    <oc r="K102">
      <f>SUM(K104:K116)</f>
    </oc>
    <nc r="K102">
      <f>SUM(K104:K117)</f>
    </nc>
  </rcc>
  <rcc rId="11125" sId="2">
    <oc r="L102">
      <f>SUM(L104:L116)</f>
    </oc>
    <nc r="L102">
      <f>SUM(L104:L117)</f>
    </nc>
  </rcc>
  <rcc rId="11126" sId="2">
    <oc r="M102">
      <f>SUM(M104:M116)</f>
    </oc>
    <nc r="M102">
      <f>SUM(M104:M117)</f>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K9:M9">
    <dxf>
      <fill>
        <patternFill>
          <bgColor rgb="FF92D050"/>
        </patternFill>
      </fill>
    </dxf>
  </rfmt>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XFD1048576">
    <dxf>
      <fill>
        <patternFill>
          <bgColor theme="0"/>
        </patternFill>
      </fill>
    </dxf>
  </rfmt>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27" sId="2">
    <oc r="L8">
      <f>L9+L135</f>
    </oc>
    <nc r="L8">
      <f>L9+L135</f>
    </nc>
  </rcc>
  <rcc rId="11128" sId="2">
    <oc r="M8">
      <f>M9+M135</f>
    </oc>
    <nc r="M8">
      <f>M9+M135</f>
    </nc>
  </rcc>
  <rfmt sheetId="2" sqref="K135:M135">
    <dxf>
      <fill>
        <patternFill>
          <bgColor rgb="FFFFFF00"/>
        </patternFill>
      </fill>
    </dxf>
  </rfmt>
  <rfmt sheetId="2" sqref="K137:M137">
    <dxf>
      <fill>
        <patternFill>
          <bgColor rgb="FFFFFF00"/>
        </patternFill>
      </fill>
    </dxf>
  </rfmt>
  <rfmt sheetId="2" sqref="L158:M158">
    <dxf>
      <fill>
        <patternFill>
          <bgColor rgb="FFFFFF00"/>
        </patternFill>
      </fill>
    </dxf>
  </rfmt>
  <rcc rId="11129" sId="2" odxf="1" dxf="1" numFmtId="4">
    <oc r="C158" t="inlineStr">
      <is>
        <t>2 02 35118 00</t>
      </is>
    </oc>
    <nc r="C158">
      <v>8909900051180</v>
    </nc>
    <odxf>
      <numFmt numFmtId="0" formatCode="General"/>
    </odxf>
    <ndxf>
      <numFmt numFmtId="3" formatCode="#,##0"/>
    </ndxf>
  </rcc>
  <rcc rId="11130" sId="2">
    <nc r="E158">
      <v>890</v>
    </nc>
  </rcc>
  <rfmt sheetId="2" sqref="L156:M156">
    <dxf>
      <fill>
        <patternFill>
          <bgColor rgb="FFFFFF00"/>
        </patternFill>
      </fill>
    </dxf>
  </rfmt>
  <rfmt sheetId="2" sqref="L157:M157">
    <dxf>
      <fill>
        <patternFill>
          <bgColor rgb="FFFFFF00"/>
        </patternFill>
      </fill>
    </dxf>
  </rfmt>
  <rfmt sheetId="2" sqref="L155:M155">
    <dxf>
      <fill>
        <patternFill>
          <bgColor rgb="FFFFFF00"/>
        </patternFill>
      </fill>
    </dxf>
  </rfmt>
  <rfmt sheetId="2" sqref="K141">
    <dxf>
      <fill>
        <patternFill>
          <bgColor rgb="FFFFFF00"/>
        </patternFill>
      </fill>
    </dxf>
  </rfmt>
  <rfmt sheetId="2" sqref="K149">
    <dxf>
      <fill>
        <patternFill>
          <bgColor rgb="FFFFFF00"/>
        </patternFill>
      </fill>
    </dxf>
  </rfmt>
  <rfmt sheetId="2" sqref="L149">
    <dxf>
      <fill>
        <patternFill>
          <bgColor rgb="FFFFFF00"/>
        </patternFill>
      </fill>
    </dxf>
  </rfmt>
  <rfmt sheetId="2" sqref="M149">
    <dxf>
      <fill>
        <patternFill>
          <bgColor rgb="FFFFFF00"/>
        </patternFill>
      </fill>
    </dxf>
  </rfmt>
  <rfmt sheetId="2" sqref="K145">
    <dxf>
      <fill>
        <patternFill>
          <bgColor rgb="FFFFFF00"/>
        </patternFill>
      </fill>
    </dxf>
  </rfmt>
  <rcc rId="11131" sId="2" numFmtId="4">
    <oc r="L142">
      <v>0</v>
    </oc>
    <nc r="L142">
      <v>294300</v>
    </nc>
  </rcc>
  <rcc rId="11132" sId="2" numFmtId="4">
    <oc r="M142">
      <v>0</v>
    </oc>
    <nc r="M142">
      <v>294300</v>
    </nc>
  </rcc>
  <rcc rId="11133" sId="2">
    <oc r="D142" t="inlineStr">
      <is>
        <t xml:space="preserve">Субсидии бюджетам муниципальных округов на реализацию мероприятий государственной программы Российской Федерации "Доступная среда" </t>
      </is>
    </oc>
    <nc r="D142" t="inlineStr">
      <is>
        <t>Субсиди на подготовку проектов межевания территории для выполнения комплексных кадастровых работ</t>
      </is>
    </nc>
  </rcc>
  <rcc rId="11134" sId="2">
    <oc r="C142" t="inlineStr">
      <is>
        <t>975 2 02 25027 14 0000 150</t>
      </is>
    </oc>
    <nc r="C142">
      <v>863</v>
    </nc>
  </rcc>
  <rcc rId="11135" sId="2">
    <oc r="E142" t="inlineStr">
      <is>
        <t>Отдел образования администрации муниципального округа "Инта"</t>
      </is>
    </oc>
    <nc r="E142">
      <v>863</v>
    </nc>
  </rcc>
  <rfmt sheetId="2" sqref="A1:XFD1048576">
    <dxf>
      <fill>
        <patternFill>
          <bgColor theme="0"/>
        </patternFill>
      </fill>
    </dxf>
  </rfmt>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5685584-75D0-4A51-AE28-5C7D20707FBD}" action="delete"/>
  <rdn rId="0" localSheetId="1" customView="1" name="Z_65685584_75D0_4A51_AE28_5C7D20707FBD_.wvu.PrintArea" hidden="1" oldHidden="1">
    <formula>'на 01.07.'!$A$4:$L$175</formula>
    <oldFormula>'на 01.07.'!$A$4:$L$175</oldFormula>
  </rdn>
  <rdn rId="0" localSheetId="1" customView="1" name="Z_65685584_75D0_4A51_AE28_5C7D20707FBD_.wvu.PrintTitles" hidden="1" oldHidden="1">
    <formula>'на 01.07.'!$4:$6</formula>
    <oldFormula>'на 01.07.'!$4:$6</oldFormula>
  </rdn>
  <rdn rId="0" localSheetId="1" customView="1" name="Z_65685584_75D0_4A51_AE28_5C7D20707FBD_.wvu.Cols" hidden="1" oldHidden="1">
    <formula>'на 01.07.'!$A:$B,'на 01.07.'!$F:$F</formula>
    <oldFormula>'на 01.07.'!$A:$B,'на 01.07.'!$F:$F</oldFormula>
  </rdn>
  <rdn rId="0" localSheetId="2" customView="1" name="Z_65685584_75D0_4A51_AE28_5C7D20707FBD_.wvu.PrintArea" hidden="1" oldHidden="1">
    <formula>Лист1!$C$1:$M$175</formula>
    <oldFormula>Лист1!$C$1:$M$175</oldFormula>
  </rdn>
  <rdn rId="0" localSheetId="2" customView="1" name="Z_65685584_75D0_4A51_AE28_5C7D20707FBD_.wvu.PrintTitles" hidden="1" oldHidden="1">
    <formula>Лист1!$5:$7</formula>
    <oldFormula>Лист1!$5:$7</oldFormula>
  </rdn>
  <rdn rId="0" localSheetId="2" customView="1" name="Z_65685584_75D0_4A51_AE28_5C7D20707FBD_.wvu.Cols" hidden="1" oldHidden="1">
    <formula>Лист1!$A:$B,Лист1!$F:$F,Лист1!$N:$N</formula>
    <oldFormula>Лист1!$A:$B,Лист1!$F:$F,Лист1!$N:$N</oldFormula>
  </rdn>
  <rdn rId="0" localSheetId="2" customView="1" name="Z_65685584_75D0_4A51_AE28_5C7D20707FBD_.wvu.FilterData" hidden="1" oldHidden="1">
    <formula>Лист1!$C$7:$M$175</formula>
    <oldFormula>Лист1!$C$7:$M$175</oldFormula>
  </rdn>
  <rcv guid="{65685584-75D0-4A51-AE28-5C7D20707FBD}" action="add"/>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1:I1048576">
    <dxf>
      <fill>
        <patternFill>
          <bgColor rgb="FFFFFF00"/>
        </patternFill>
      </fill>
    </dxf>
  </rfmt>
  <rcc rId="11143" sId="2" xfDxf="1" dxf="1" numFmtId="4">
    <oc r="I12">
      <v>0</v>
    </oc>
    <nc r="I12">
      <v>184752000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44" sId="2" xfDxf="1" dxf="1" numFmtId="4">
    <oc r="I13">
      <v>0</v>
    </oc>
    <nc r="I13">
      <v>400000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45" sId="2" xfDxf="1" dxf="1" numFmtId="4">
    <oc r="I15">
      <v>0</v>
    </oc>
    <nc r="I15">
      <v>1335000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46" sId="2" numFmtId="4">
    <oc r="I16">
      <v>0</v>
    </oc>
    <nc r="I16">
      <v>70000</v>
    </nc>
  </rcc>
  <rcc rId="11147" sId="2" xfDxf="1" dxf="1" numFmtId="4">
    <oc r="I17">
      <v>0</v>
    </oc>
    <nc r="I17">
      <v>1445000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48" sId="2" numFmtId="4">
    <oc r="I18">
      <v>0</v>
    </oc>
    <nc r="I18">
      <v>45000</v>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49" sId="2" numFmtId="4">
    <oc r="I24">
      <v>0</v>
    </oc>
    <nc r="I24">
      <v>4335000</v>
    </nc>
  </rcc>
  <rcc rId="11150" sId="2" numFmtId="4">
    <oc r="I25">
      <v>0</v>
    </oc>
    <nc r="I25">
      <v>20000</v>
    </nc>
  </rcc>
  <rcc rId="11151" sId="2" numFmtId="4">
    <oc r="I26">
      <v>0</v>
    </oc>
    <nc r="I26">
      <v>4388000</v>
    </nc>
  </rcc>
  <rcc rId="11152" sId="2" numFmtId="4">
    <oc r="I27">
      <v>0</v>
    </oc>
    <nc r="I27">
      <v>-443000</v>
    </nc>
  </rcc>
  <rcc rId="11153" sId="2" xfDxf="1" dxf="1" numFmtId="4">
    <oc r="I31">
      <v>0</v>
    </oc>
    <nc r="I31">
      <v>46348000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54" sId="2" xfDxf="1" dxf="1" numFmtId="4">
    <oc r="I33">
      <v>0</v>
    </oc>
    <nc r="I33">
      <v>24406000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55" sId="2" xfDxf="1" dxf="1" numFmtId="4">
    <oc r="I37">
      <v>0</v>
    </oc>
    <nc r="I37">
      <v>24000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56" sId="2" xfDxf="1" dxf="1" numFmtId="4">
    <oc r="I39">
      <v>0</v>
    </oc>
    <nc r="I39">
      <v>202000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57" sId="2" xfDxf="1" dxf="1" numFmtId="4">
    <oc r="I41">
      <v>0</v>
    </oc>
    <nc r="I41">
      <v>6130000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58" sId="2" xfDxf="1" dxf="1" numFmtId="4">
    <oc r="I48">
      <v>0</v>
    </oc>
    <nc r="I48">
      <v>511000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59" sId="2" xfDxf="1" dxf="1" numFmtId="4">
    <oc r="I45">
      <v>0</v>
    </oc>
    <nc r="I45">
      <v>4550000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60" sId="2" xfDxf="1" dxf="1" numFmtId="4">
    <oc r="I50">
      <v>0</v>
    </oc>
    <nc r="I50">
      <v>391000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61" sId="2" xfDxf="1" dxf="1" numFmtId="4">
    <oc r="I52">
      <f>I53</f>
    </oc>
    <nc r="I52">
      <v>22500000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62" sId="2" odxf="1" dxf="1">
    <oc r="I51">
      <f>I52+I54</f>
    </oc>
    <nc r="I51">
      <f>I52+I54</f>
    </nc>
    <odxf>
      <fill>
        <patternFill>
          <bgColor rgb="FFFFFF00"/>
        </patternFill>
      </fill>
    </odxf>
    <ndxf>
      <fill>
        <patternFill>
          <bgColor theme="0"/>
        </patternFill>
      </fill>
    </ndxf>
  </rcc>
  <rfmt sheetId="2" sqref="E52">
    <dxf>
      <alignment wrapText="1" readingOrder="0"/>
    </dxf>
  </rfmt>
  <rcc rId="11163" sId="2" xfDxf="1" dxf="1" numFmtId="4">
    <oc r="I62">
      <v>441000</v>
    </oc>
    <nc r="I62">
      <v>440000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fmt sheetId="2" xfDxf="1" sqref="I64" start="0" length="0">
    <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dxf>
  </rfmt>
  <rfmt sheetId="2" xfDxf="1" sqref="I68" start="0" length="0">
    <dxf>
      <font>
        <sz val="10"/>
        <color auto="1"/>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dxf>
  </rfmt>
  <rcc rId="11164" sId="2" numFmtId="4">
    <oc r="I64">
      <v>1150000</v>
    </oc>
    <nc r="I64">
      <v>1149000</v>
    </nc>
  </rcc>
  <rfmt sheetId="2" xfDxf="1" sqref="I72" start="0" length="0">
    <dxf>
      <font>
        <sz val="10"/>
        <name val="Times New Roman"/>
        <scheme val="none"/>
      </font>
      <numFmt numFmtId="4" formatCode="#,##0.00"/>
      <fill>
        <patternFill patternType="solid">
          <bgColor rgb="FFFFFF00"/>
        </patternFill>
      </fill>
      <alignment horizontal="center" vertical="top" wrapText="1" readingOrder="0"/>
      <border outline="0">
        <left style="thin">
          <color indexed="64"/>
        </left>
        <right style="thin">
          <color indexed="64"/>
        </right>
        <top style="thin">
          <color indexed="64"/>
        </top>
        <bottom style="thin">
          <color indexed="64"/>
        </bottom>
      </border>
    </dxf>
  </rfmt>
  <rcc rId="11165" sId="2" numFmtId="4">
    <oc r="I73">
      <v>375000</v>
    </oc>
    <nc r="I73">
      <v>1845000</v>
    </nc>
  </rcc>
  <rcc rId="11166" sId="2" odxf="1" dxf="1">
    <oc r="I60">
      <f>H61+H63+H65+H67+H69+H71</f>
    </oc>
    <nc r="I60">
      <f>I61+I63+I65+I67+I69+I71</f>
    </nc>
    <odxf>
      <fill>
        <patternFill>
          <bgColor rgb="FFFFFF00"/>
        </patternFill>
      </fill>
    </odxf>
    <ndxf>
      <fill>
        <patternFill>
          <bgColor theme="0"/>
        </patternFill>
      </fill>
    </ndxf>
  </rcc>
  <rcc rId="11167" sId="2" xfDxf="1" dxf="1" numFmtId="4">
    <oc r="I76">
      <v>599200</v>
    </oc>
    <nc r="I76">
      <v>595950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fmt sheetId="2" xfDxf="1" sqref="I78" start="0" length="0">
    <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dxf>
  </rfmt>
  <rfmt sheetId="2" xfDxf="1" sqref="I80" start="0" length="0">
    <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dxf>
  </rfmt>
  <rcc rId="11168" sId="2" numFmtId="4">
    <oc r="I81">
      <v>0</v>
    </oc>
    <nc r="I81">
      <v>50</v>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69" sId="2" numFmtId="4">
    <oc r="I85">
      <v>0</v>
    </oc>
    <nc r="I85">
      <v>70000</v>
    </nc>
  </rcc>
  <rcc rId="11170" sId="2" numFmtId="4">
    <oc r="I88">
      <v>6500000</v>
    </oc>
    <nc r="I88">
      <v>7500000</v>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71" sId="2" numFmtId="4">
    <oc r="I91">
      <v>1900000</v>
    </oc>
    <nc r="I91">
      <v>3300628</v>
    </nc>
  </rcc>
  <rcc rId="11172" sId="2" numFmtId="4">
    <oc r="I92">
      <v>0</v>
    </oc>
    <nc r="I92">
      <v>100000</v>
    </nc>
  </rcc>
  <rcc rId="11173" sId="2" xfDxf="1" dxf="1" numFmtId="4">
    <oc r="I93">
      <v>90000</v>
    </oc>
    <nc r="I93">
      <v>108622</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cc rId="11174" sId="2" xfDxf="1" dxf="1" numFmtId="4">
    <oc r="I90">
      <v>0</v>
    </oc>
    <nc r="I90">
      <v>33250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75" sId="2" xfDxf="1" dxf="1" numFmtId="4">
    <oc r="I100">
      <v>260000</v>
    </oc>
    <nc r="I100">
      <v>297500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76" sId="2" numFmtId="4">
    <oc r="I103">
      <v>0</v>
    </oc>
    <nc r="I103">
      <v>217100</v>
    </nc>
  </rcc>
  <rfmt sheetId="2" sqref="I103">
    <dxf>
      <fill>
        <patternFill>
          <bgColor theme="3" tint="0.39997558519241921"/>
        </patternFill>
      </fill>
    </dxf>
  </rfmt>
  <rcc rId="11177" sId="2" numFmtId="4">
    <oc r="I105">
      <v>0</v>
    </oc>
    <nc r="I105">
      <v>416000</v>
    </nc>
  </rcc>
  <rfmt sheetId="2" sqref="I105">
    <dxf>
      <fill>
        <patternFill>
          <bgColor theme="3" tint="0.39997558519241921"/>
        </patternFill>
      </fill>
    </dxf>
  </rfmt>
  <rcc rId="11178" sId="2" numFmtId="4">
    <oc r="I108">
      <v>0</v>
    </oc>
    <nc r="I108">
      <v>59100</v>
    </nc>
  </rcc>
  <rfmt sheetId="2" sqref="I108">
    <dxf>
      <fill>
        <patternFill>
          <bgColor theme="3" tint="0.39997558519241921"/>
        </patternFill>
      </fill>
    </dxf>
  </rfmt>
  <rcc rId="11179" sId="2" numFmtId="4">
    <oc r="I110">
      <v>0</v>
    </oc>
    <nc r="I110">
      <v>20300</v>
    </nc>
  </rcc>
  <rfmt sheetId="2" sqref="I110">
    <dxf>
      <fill>
        <patternFill>
          <bgColor theme="3" tint="0.39997558519241921"/>
        </patternFill>
      </fill>
    </dxf>
  </rfmt>
  <rcc rId="11180" sId="2" numFmtId="4">
    <oc r="I111">
      <v>0</v>
    </oc>
    <nc r="I111">
      <v>2700</v>
    </nc>
  </rcc>
  <rfmt sheetId="2" sqref="I111">
    <dxf>
      <fill>
        <patternFill>
          <bgColor theme="3" tint="0.39997558519241921"/>
        </patternFill>
      </fill>
    </dxf>
  </rfmt>
  <rcc rId="11181" sId="2" numFmtId="4">
    <oc r="I112">
      <v>0</v>
    </oc>
    <nc r="I112">
      <v>5000</v>
    </nc>
  </rcc>
  <rfmt sheetId="2" sqref="I112">
    <dxf>
      <fill>
        <patternFill>
          <bgColor theme="3" tint="0.39997558519241921"/>
        </patternFill>
      </fill>
    </dxf>
  </rfmt>
  <rcc rId="11182" sId="2" numFmtId="4">
    <oc r="I113">
      <v>0</v>
    </oc>
    <nc r="I113">
      <v>24500</v>
    </nc>
  </rcc>
  <rfmt sheetId="2" sqref="I113">
    <dxf>
      <fill>
        <patternFill>
          <bgColor theme="3" tint="0.39997558519241921"/>
        </patternFill>
      </fill>
    </dxf>
  </rfmt>
  <rcc rId="11183" sId="2" numFmtId="4">
    <oc r="I114">
      <v>0</v>
    </oc>
    <nc r="I114">
      <v>15200</v>
    </nc>
  </rcc>
  <rfmt sheetId="2" sqref="I114">
    <dxf>
      <fill>
        <patternFill>
          <bgColor theme="3" tint="0.39997558519241921"/>
        </patternFill>
      </fill>
    </dxf>
  </rfmt>
  <rcc rId="11184" sId="2" numFmtId="4">
    <oc r="I115">
      <v>0</v>
    </oc>
    <nc r="I115">
      <v>236700</v>
    </nc>
  </rcc>
  <rfmt sheetId="2" sqref="I115">
    <dxf>
      <fill>
        <patternFill>
          <bgColor theme="3" tint="0.39997558519241921"/>
        </patternFill>
      </fill>
    </dxf>
  </rfmt>
  <rcc rId="11185" sId="2" numFmtId="4">
    <oc r="I116">
      <v>0</v>
    </oc>
    <nc r="I116">
      <v>455400</v>
    </nc>
  </rcc>
  <rfmt sheetId="2" sqref="I116">
    <dxf>
      <fill>
        <patternFill>
          <bgColor theme="3" tint="0.39997558519241921"/>
        </patternFill>
      </fill>
    </dxf>
  </rfmt>
  <rcc rId="11186" sId="2" numFmtId="4">
    <oc r="I117">
      <v>0</v>
    </oc>
    <nc r="I117">
      <v>25000</v>
    </nc>
  </rcc>
  <rfmt sheetId="2" sqref="I117">
    <dxf>
      <fill>
        <patternFill>
          <bgColor theme="3" tint="0.39997558519241921"/>
        </patternFill>
      </fill>
    </dxf>
  </rfmt>
  <rcc rId="11187" sId="2" numFmtId="4">
    <oc r="I119">
      <v>0</v>
    </oc>
    <nc r="I119">
      <v>292000</v>
    </nc>
  </rcc>
  <rfmt sheetId="2" sqref="I119">
    <dxf>
      <fill>
        <patternFill>
          <bgColor theme="3" tint="0.39997558519241921"/>
        </patternFill>
      </fill>
    </dxf>
  </rfmt>
  <rcc rId="11188" sId="2" numFmtId="4">
    <oc r="I122">
      <v>0</v>
    </oc>
    <nc r="I122">
      <v>4200</v>
    </nc>
  </rcc>
  <rfmt sheetId="2" sqref="I122">
    <dxf>
      <fill>
        <patternFill>
          <bgColor theme="3" tint="0.39997558519241921"/>
        </patternFill>
      </fill>
    </dxf>
  </rfmt>
  <rcc rId="11189" sId="2" numFmtId="4">
    <oc r="I123">
      <v>0</v>
    </oc>
    <nc r="I123">
      <v>8700</v>
    </nc>
  </rcc>
  <rfmt sheetId="2" sqref="I123">
    <dxf>
      <fill>
        <patternFill>
          <bgColor theme="3" tint="0.39997558519241921"/>
        </patternFill>
      </fill>
    </dxf>
  </rfmt>
  <rcc rId="11190" sId="2" numFmtId="4">
    <oc r="I124">
      <v>0</v>
    </oc>
    <nc r="I124">
      <v>118100</v>
    </nc>
  </rcc>
  <rfmt sheetId="2" sqref="I124">
    <dxf>
      <fill>
        <patternFill>
          <bgColor theme="3" tint="0.39997558519241921"/>
        </patternFill>
      </fill>
    </dxf>
  </rfmt>
  <rcc rId="11191" sId="2" numFmtId="4">
    <oc r="I128">
      <v>0</v>
    </oc>
    <nc r="I128">
      <v>600000</v>
    </nc>
  </rcc>
  <rfmt sheetId="2" sqref="I128">
    <dxf>
      <fill>
        <patternFill>
          <bgColor theme="3" tint="0.39997558519241921"/>
        </patternFill>
      </fill>
    </dxf>
  </rfmt>
  <rfmt sheetId="2" sqref="I121" start="0" length="0">
    <dxf>
      <fill>
        <patternFill>
          <bgColor theme="0"/>
        </patternFill>
      </fill>
    </dxf>
  </rfmt>
  <rcc rId="11192" sId="2">
    <oc r="G121">
      <f>SUM(G123:G125)</f>
    </oc>
    <nc r="G121">
      <f>SUM(G122:G125)</f>
    </nc>
  </rcc>
  <rcc rId="11193" sId="2">
    <oc r="H121">
      <f>SUM(H122:H125)</f>
    </oc>
    <nc r="H121">
      <f>SUM(H122:H125)</f>
    </nc>
  </rcc>
  <rcc rId="11194" sId="2">
    <oc r="I121">
      <f>SUM(I123:I125)</f>
    </oc>
    <nc r="I121">
      <f>SUM(I122:I125)</f>
    </nc>
  </rcc>
  <rcc rId="11195" sId="2" odxf="1" dxf="1">
    <oc r="J121">
      <f>SUM(J123:J125)</f>
    </oc>
    <nc r="J121">
      <f>SUM(J122:J125)</f>
    </nc>
    <odxf>
      <font>
        <b/>
        <sz val="10"/>
        <name val="Times New Roman"/>
        <scheme val="none"/>
      </font>
    </odxf>
    <ndxf>
      <font>
        <b val="0"/>
        <sz val="10"/>
        <name val="Times New Roman"/>
        <scheme val="none"/>
      </font>
    </ndxf>
  </rcc>
  <rcc rId="11196" sId="2">
    <oc r="K121">
      <f>SUM(K123:K125)</f>
    </oc>
    <nc r="K121">
      <f>SUM(K122:K125)</f>
    </nc>
  </rcc>
  <rcc rId="11197" sId="2">
    <oc r="L121">
      <f>SUM(L123:L125)</f>
    </oc>
    <nc r="L121">
      <f>SUM(L122:L125)</f>
    </nc>
  </rcc>
  <rcc rId="11198" sId="2">
    <oc r="M121">
      <f>SUM(M123:M125)</f>
    </oc>
    <nc r="M121">
      <f>SUM(M122:M125)</f>
    </nc>
  </rcc>
  <rcc rId="11199" sId="2">
    <oc r="H101">
      <f>H102+H118+H121+H126</f>
    </oc>
    <nc r="H101">
      <f>H102+H118+H121+H126</f>
    </nc>
  </rcc>
  <rcc rId="11200" sId="2" odxf="1" dxf="1">
    <oc r="I101">
      <f>I102+I118+I121+I126</f>
    </oc>
    <nc r="I101">
      <f>I102+I118+I121+I126</f>
    </nc>
    <odxf>
      <fill>
        <patternFill>
          <bgColor rgb="FFFFFF00"/>
        </patternFill>
      </fill>
    </odxf>
    <ndxf>
      <fill>
        <patternFill>
          <bgColor theme="0"/>
        </patternFill>
      </fill>
    </ndxf>
  </rcc>
  <rcc rId="11201" sId="2">
    <oc r="I102">
      <f>SUM(I104:I116)</f>
    </oc>
    <nc r="I102">
      <f>SUM(I103:I117)</f>
    </nc>
  </rcc>
  <rcc rId="11202" sId="2" odxf="1" dxf="1">
    <oc r="J102">
      <f>SUM(J104:J116)</f>
    </oc>
    <nc r="J102">
      <f>SUM(J103:J117)</f>
    </nc>
    <odxf>
      <font>
        <b/>
        <sz val="10"/>
        <name val="Times New Roman"/>
        <scheme val="none"/>
      </font>
      <fill>
        <patternFill>
          <bgColor theme="0"/>
        </patternFill>
      </fill>
    </odxf>
    <ndxf>
      <font>
        <b val="0"/>
        <sz val="10"/>
        <name val="Times New Roman"/>
        <scheme val="none"/>
      </font>
      <fill>
        <patternFill>
          <bgColor rgb="FFFFFF00"/>
        </patternFill>
      </fill>
    </ndxf>
  </rcc>
  <rcc rId="11203" sId="2" odxf="1" dxf="1">
    <oc r="K102">
      <f>SUM(K104:K117)</f>
    </oc>
    <nc r="K102">
      <f>SUM(K103:K117)</f>
    </nc>
    <odxf>
      <fill>
        <patternFill>
          <bgColor theme="0"/>
        </patternFill>
      </fill>
    </odxf>
    <ndxf>
      <fill>
        <patternFill>
          <bgColor rgb="FFFFFF00"/>
        </patternFill>
      </fill>
    </ndxf>
  </rcc>
  <rcc rId="11204" sId="2" odxf="1" dxf="1">
    <oc r="L102">
      <f>SUM(L104:L117)</f>
    </oc>
    <nc r="L102">
      <f>SUM(L103:L117)</f>
    </nc>
    <odxf>
      <fill>
        <patternFill>
          <bgColor theme="0"/>
        </patternFill>
      </fill>
    </odxf>
    <ndxf>
      <fill>
        <patternFill>
          <bgColor rgb="FFFFFF00"/>
        </patternFill>
      </fill>
    </ndxf>
  </rcc>
  <rcc rId="11205" sId="2" odxf="1" dxf="1">
    <oc r="M102">
      <f>SUM(M104:M117)</f>
    </oc>
    <nc r="M102">
      <f>SUM(M103:M117)</f>
    </nc>
    <odxf>
      <fill>
        <patternFill>
          <bgColor theme="0"/>
        </patternFill>
      </fill>
    </odxf>
    <ndxf>
      <fill>
        <patternFill>
          <bgColor rgb="FFFFFF00"/>
        </patternFill>
      </fill>
    </ndxf>
  </rc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06" sId="2" numFmtId="4">
    <nc r="K103">
      <v>587000</v>
    </nc>
  </rcc>
  <rcc rId="11207" sId="2" numFmtId="4">
    <nc r="L103">
      <v>587000</v>
    </nc>
  </rcc>
  <rcc rId="11208" sId="2" numFmtId="4">
    <nc r="M103">
      <v>587000</v>
    </nc>
  </rcc>
  <rcc rId="11209" sId="2" numFmtId="4">
    <oc r="K104">
      <v>587000</v>
    </oc>
    <nc r="K104">
      <v>0</v>
    </nc>
  </rcc>
  <rcc rId="11210" sId="2" numFmtId="4">
    <oc r="L104">
      <v>587000</v>
    </oc>
    <nc r="L104">
      <v>0</v>
    </nc>
  </rcc>
  <rcc rId="11211" sId="2" numFmtId="4">
    <oc r="M104">
      <v>587000</v>
    </oc>
    <nc r="M104">
      <v>0</v>
    </nc>
  </rcc>
  <rcv guid="{65685584-75D0-4A51-AE28-5C7D20707FBD}" action="delete"/>
  <rdn rId="0" localSheetId="1" customView="1" name="Z_65685584_75D0_4A51_AE28_5C7D20707FBD_.wvu.PrintArea" hidden="1" oldHidden="1">
    <formula>'на 01.07.'!$A$4:$L$175</formula>
    <oldFormula>'на 01.07.'!$A$4:$L$175</oldFormula>
  </rdn>
  <rdn rId="0" localSheetId="1" customView="1" name="Z_65685584_75D0_4A51_AE28_5C7D20707FBD_.wvu.PrintTitles" hidden="1" oldHidden="1">
    <formula>'на 01.07.'!$4:$6</formula>
    <oldFormula>'на 01.07.'!$4:$6</oldFormula>
  </rdn>
  <rdn rId="0" localSheetId="1" customView="1" name="Z_65685584_75D0_4A51_AE28_5C7D20707FBD_.wvu.Cols" hidden="1" oldHidden="1">
    <formula>'на 01.07.'!$A:$B,'на 01.07.'!$F:$F</formula>
    <oldFormula>'на 01.07.'!$A:$B,'на 01.07.'!$F:$F</oldFormula>
  </rdn>
  <rdn rId="0" localSheetId="2" customView="1" name="Z_65685584_75D0_4A51_AE28_5C7D20707FBD_.wvu.PrintArea" hidden="1" oldHidden="1">
    <formula>Лист1!$C$1:$M$175</formula>
    <oldFormula>Лист1!$C$1:$M$175</oldFormula>
  </rdn>
  <rdn rId="0" localSheetId="2" customView="1" name="Z_65685584_75D0_4A51_AE28_5C7D20707FBD_.wvu.PrintTitles" hidden="1" oldHidden="1">
    <formula>Лист1!$5:$7</formula>
    <oldFormula>Лист1!$5:$7</oldFormula>
  </rdn>
  <rdn rId="0" localSheetId="2" customView="1" name="Z_65685584_75D0_4A51_AE28_5C7D20707FBD_.wvu.Rows" hidden="1" oldHidden="1">
    <formula>Лист1!$104:$104,Лист1!$106:$107,Лист1!$109:$109,Лист1!$125:$125,Лист1!$127:$127</formula>
  </rdn>
  <rdn rId="0" localSheetId="2" customView="1" name="Z_65685584_75D0_4A51_AE28_5C7D20707FBD_.wvu.Cols" hidden="1" oldHidden="1">
    <formula>Лист1!$A:$B,Лист1!$F:$F,Лист1!$N:$N</formula>
    <oldFormula>Лист1!$A:$B,Лист1!$F:$F,Лист1!$N:$N</oldFormula>
  </rdn>
  <rdn rId="0" localSheetId="2" customView="1" name="Z_65685584_75D0_4A51_AE28_5C7D20707FBD_.wvu.FilterData" hidden="1" oldHidden="1">
    <formula>Лист1!$C$101:$M$175</formula>
    <oldFormula>Лист1!$C$7:$M$175</oldFormula>
  </rdn>
  <rcv guid="{65685584-75D0-4A51-AE28-5C7D20707FBD}" action="add"/>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134">
    <dxf>
      <fill>
        <patternFill>
          <bgColor theme="3" tint="0.39997558519241921"/>
        </patternFill>
      </fill>
    </dxf>
  </rfmt>
  <rcc rId="11220" sId="2" numFmtId="4">
    <oc r="I134">
      <v>0</v>
    </oc>
    <nc r="I134">
      <v>5000</v>
    </nc>
  </rcc>
  <rcv guid="{65685584-75D0-4A51-AE28-5C7D20707FBD}" action="delete"/>
  <rdn rId="0" localSheetId="1" customView="1" name="Z_65685584_75D0_4A51_AE28_5C7D20707FBD_.wvu.PrintArea" hidden="1" oldHidden="1">
    <formula>'на 01.07.'!$A$4:$L$175</formula>
    <oldFormula>'на 01.07.'!$A$4:$L$175</oldFormula>
  </rdn>
  <rdn rId="0" localSheetId="1" customView="1" name="Z_65685584_75D0_4A51_AE28_5C7D20707FBD_.wvu.PrintTitles" hidden="1" oldHidden="1">
    <formula>'на 01.07.'!$4:$6</formula>
    <oldFormula>'на 01.07.'!$4:$6</oldFormula>
  </rdn>
  <rdn rId="0" localSheetId="1" customView="1" name="Z_65685584_75D0_4A51_AE28_5C7D20707FBD_.wvu.Cols" hidden="1" oldHidden="1">
    <formula>'на 01.07.'!$A:$B,'на 01.07.'!$F:$F</formula>
    <oldFormula>'на 01.07.'!$A:$B,'на 01.07.'!$F:$F</oldFormula>
  </rdn>
  <rdn rId="0" localSheetId="2" customView="1" name="Z_65685584_75D0_4A51_AE28_5C7D20707FBD_.wvu.PrintArea" hidden="1" oldHidden="1">
    <formula>Лист1!$C$1:$M$175</formula>
    <oldFormula>Лист1!$C$1:$M$175</oldFormula>
  </rdn>
  <rdn rId="0" localSheetId="2" customView="1" name="Z_65685584_75D0_4A51_AE28_5C7D20707FBD_.wvu.PrintTitles" hidden="1" oldHidden="1">
    <formula>Лист1!$5:$7</formula>
    <oldFormula>Лист1!$5:$7</oldFormula>
  </rdn>
  <rdn rId="0" localSheetId="2" customView="1" name="Z_65685584_75D0_4A51_AE28_5C7D20707FBD_.wvu.Rows" hidden="1" oldHidden="1">
    <formula>Лист1!$104:$104,Лист1!$106:$107,Лист1!$109:$109,Лист1!$125:$125,Лист1!$127:$127,Лист1!$133:$133</formula>
    <oldFormula>Лист1!$104:$104,Лист1!$106:$107,Лист1!$109:$109,Лист1!$125:$125,Лист1!$127:$127</oldFormula>
  </rdn>
  <rdn rId="0" localSheetId="2" customView="1" name="Z_65685584_75D0_4A51_AE28_5C7D20707FBD_.wvu.Cols" hidden="1" oldHidden="1">
    <formula>Лист1!$A:$B,Лист1!$F:$F,Лист1!$N:$N</formula>
    <oldFormula>Лист1!$A:$B,Лист1!$F:$F,Лист1!$N:$N</oldFormula>
  </rdn>
  <rdn rId="0" localSheetId="2" customView="1" name="Z_65685584_75D0_4A51_AE28_5C7D20707FBD_.wvu.FilterData" hidden="1" oldHidden="1">
    <formula>Лист1!$C$129:$M$175</formula>
    <oldFormula>Лист1!$C$101:$M$175</oldFormula>
  </rdn>
  <rcv guid="{65685584-75D0-4A51-AE28-5C7D20707FBD}" action="add"/>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29" sId="2" xfDxf="1" dxf="1" numFmtId="4">
    <oc r="I138">
      <v>0</v>
    </oc>
    <nc r="I138">
      <v>456683994</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fmt sheetId="2" sqref="I138">
    <dxf>
      <fill>
        <patternFill>
          <bgColor theme="3" tint="0.39997558519241921"/>
        </patternFill>
      </fill>
    </dxf>
  </rfmt>
  <rcc rId="11230" sId="2" xfDxf="1" dxf="1" numFmtId="4">
    <oc r="I139">
      <v>0</v>
    </oc>
    <nc r="I139">
      <v>227281800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fmt sheetId="2" sqref="I139">
    <dxf>
      <fill>
        <patternFill>
          <bgColor theme="3" tint="0.39997558519241921"/>
        </patternFill>
      </fill>
    </dxf>
  </rfmt>
  <rcc rId="11231" sId="2" xfDxf="1" dxf="1" numFmtId="4">
    <oc r="I140">
      <v>0</v>
    </oc>
    <nc r="I140">
      <v>1930143.58</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fmt sheetId="2" sqref="I140">
    <dxf>
      <fill>
        <patternFill>
          <bgColor theme="3" tint="0.39997558519241921"/>
        </patternFill>
      </fill>
    </dxf>
  </rfmt>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142">
    <dxf>
      <fill>
        <patternFill>
          <bgColor theme="3" tint="0.39997558519241921"/>
        </patternFill>
      </fill>
    </dxf>
  </rfmt>
  <rcc rId="11232" sId="2" xfDxf="1" dxf="1" numFmtId="4">
    <oc r="I143">
      <v>0</v>
    </oc>
    <nc r="I143">
      <v>40350340</v>
    </nc>
    <ndxf>
      <font>
        <sz val="10"/>
        <name val="Times New Roman"/>
        <scheme val="none"/>
      </font>
      <numFmt numFmtId="4" formatCode="#,##0.00"/>
      <fill>
        <patternFill patternType="solid">
          <bgColor rgb="FFFFFF00"/>
        </patternFill>
      </fill>
      <alignment horizontal="center" vertical="top" readingOrder="0"/>
      <border outline="0">
        <left style="thin">
          <color indexed="64"/>
        </left>
        <right style="thin">
          <color indexed="64"/>
        </right>
        <top style="thin">
          <color indexed="64"/>
        </top>
        <bottom style="thin">
          <color indexed="64"/>
        </bottom>
      </border>
    </ndxf>
  </rcc>
  <rfmt sheetId="2" sqref="I143">
    <dxf>
      <fill>
        <patternFill>
          <bgColor theme="3" tint="0.39997558519241921"/>
        </patternFill>
      </fill>
    </dxf>
  </rfmt>
  <rfmt sheetId="2" sqref="I144">
    <dxf>
      <fill>
        <patternFill>
          <bgColor theme="3" tint="0.39997558519241921"/>
        </patternFill>
      </fill>
    </dxf>
  </rfmt>
  <rfmt sheetId="2" sqref="I145">
    <dxf>
      <fill>
        <patternFill>
          <bgColor theme="3" tint="0.39997558519241921"/>
        </patternFill>
      </fill>
    </dxf>
  </rfmt>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146">
    <dxf>
      <fill>
        <patternFill>
          <bgColor theme="3" tint="0.39997558519241921"/>
        </patternFill>
      </fill>
    </dxf>
  </rfmt>
  <rcc rId="11233" sId="2" odxf="1" dxf="1" numFmtId="4">
    <oc r="I162">
      <v>0</v>
    </oc>
    <nc r="I162">
      <v>47183800</v>
    </nc>
    <odxf>
      <fill>
        <patternFill>
          <bgColor rgb="FFFFFF00"/>
        </patternFill>
      </fill>
    </odxf>
    <ndxf>
      <fill>
        <patternFill>
          <bgColor theme="0"/>
        </patternFill>
      </fill>
    </ndxf>
  </rcc>
  <rfmt sheetId="2" sqref="I162">
    <dxf>
      <fill>
        <patternFill>
          <bgColor theme="3" tint="0.39997558519241921"/>
        </patternFill>
      </fill>
    </dxf>
  </rfmt>
  <rcc rId="11234" sId="2" odxf="1" dxf="1" numFmtId="4">
    <oc r="I161">
      <v>0</v>
    </oc>
    <nc r="I161">
      <v>3169207</v>
    </nc>
    <odxf>
      <fill>
        <patternFill>
          <bgColor rgb="FFFFFF00"/>
        </patternFill>
      </fill>
    </odxf>
    <ndxf>
      <fill>
        <patternFill>
          <bgColor theme="0"/>
        </patternFill>
      </fill>
    </ndxf>
  </rcc>
  <rfmt sheetId="2" sqref="I161">
    <dxf>
      <fill>
        <patternFill>
          <bgColor theme="3" tint="0.39997558519241921"/>
        </patternFill>
      </fill>
    </dxf>
  </rfmt>
  <rcc rId="11235" sId="2" odxf="1" dxf="1" numFmtId="4">
    <oc r="I160">
      <v>0</v>
    </oc>
    <nc r="I160">
      <v>1078500</v>
    </nc>
    <odxf>
      <fill>
        <patternFill>
          <bgColor rgb="FFFFFF00"/>
        </patternFill>
      </fill>
    </odxf>
    <ndxf>
      <fill>
        <patternFill>
          <bgColor theme="0"/>
        </patternFill>
      </fill>
    </ndxf>
  </rcc>
  <rfmt sheetId="2" sqref="I160">
    <dxf>
      <fill>
        <patternFill>
          <bgColor theme="3" tint="0.39997558519241921"/>
        </patternFill>
      </fill>
    </dxf>
  </rfmt>
  <rcc rId="11236" sId="2" odxf="1" dxf="1" numFmtId="4">
    <oc r="I148">
      <v>0</v>
    </oc>
    <nc r="I148">
      <v>164354</v>
    </nc>
    <odxf>
      <fill>
        <patternFill>
          <bgColor rgb="FFFFFF00"/>
        </patternFill>
      </fill>
    </odxf>
    <ndxf>
      <fill>
        <patternFill>
          <bgColor theme="0"/>
        </patternFill>
      </fill>
    </ndxf>
  </rcc>
  <rfmt sheetId="2" sqref="I148">
    <dxf>
      <fill>
        <patternFill>
          <bgColor theme="3" tint="0.39997558519241921"/>
        </patternFill>
      </fill>
    </dxf>
  </rfmt>
  <rcc rId="11237" sId="2" odxf="1" dxf="1" numFmtId="4">
    <oc r="I149">
      <v>0</v>
    </oc>
    <nc r="I149">
      <v>24326054</v>
    </nc>
    <odxf>
      <fill>
        <patternFill>
          <bgColor rgb="FFFFFF00"/>
        </patternFill>
      </fill>
    </odxf>
    <ndxf>
      <fill>
        <patternFill>
          <bgColor theme="0"/>
        </patternFill>
      </fill>
    </ndxf>
  </rcc>
  <rfmt sheetId="2" sqref="I149">
    <dxf>
      <fill>
        <patternFill>
          <bgColor theme="3" tint="0.39997558519241921"/>
        </patternFill>
      </fill>
    </dxf>
  </rfmt>
  <rcc rId="11238" sId="2" odxf="1" dxf="1" numFmtId="4">
    <oc r="I150">
      <v>0</v>
    </oc>
    <nc r="I150">
      <v>6437578.9500000002</v>
    </nc>
    <odxf>
      <fill>
        <patternFill>
          <bgColor rgb="FFFFFF00"/>
        </patternFill>
      </fill>
    </odxf>
    <ndxf>
      <fill>
        <patternFill>
          <bgColor theme="0"/>
        </patternFill>
      </fill>
    </ndxf>
  </rcc>
  <rfmt sheetId="2" sqref="I150">
    <dxf>
      <fill>
        <patternFill>
          <bgColor theme="3" tint="0.39997558519241921"/>
        </patternFill>
      </fill>
    </dxf>
  </rfmt>
  <rcc rId="11239" sId="2" odxf="1" dxf="1" numFmtId="4">
    <oc r="I151">
      <v>0</v>
    </oc>
    <nc r="I151">
      <v>128546805.56</v>
    </nc>
    <odxf>
      <fill>
        <patternFill>
          <bgColor rgb="FFFFFF00"/>
        </patternFill>
      </fill>
    </odxf>
    <ndxf>
      <fill>
        <patternFill>
          <bgColor theme="0"/>
        </patternFill>
      </fill>
    </ndxf>
  </rcc>
  <rfmt sheetId="2" sqref="I151">
    <dxf>
      <fill>
        <patternFill>
          <bgColor theme="3" tint="0.39997558519241921"/>
        </patternFill>
      </fill>
    </dxf>
  </rfmt>
  <rcc rId="11240" sId="2" numFmtId="4">
    <oc r="I156">
      <v>0</v>
    </oc>
    <nc r="I156">
      <v>27087</v>
    </nc>
  </rcc>
  <rfmt sheetId="2" sqref="I156">
    <dxf>
      <fill>
        <patternFill>
          <bgColor theme="3" tint="0.39997558519241921"/>
        </patternFill>
      </fill>
    </dxf>
  </rfmt>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41" sId="2" numFmtId="4">
    <oc r="I147">
      <v>0</v>
    </oc>
    <nc r="I147">
      <v>13338100</v>
    </nc>
  </rcc>
  <rfmt sheetId="2" sqref="I147">
    <dxf>
      <fill>
        <patternFill>
          <bgColor theme="3" tint="0.39997558519241921"/>
        </patternFill>
      </fill>
    </dxf>
  </rfmt>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42" sId="2" numFmtId="4">
    <oc r="I154">
      <v>0</v>
    </oc>
    <nc r="I154">
      <v>10536778.83</v>
    </nc>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154">
    <dxf>
      <fill>
        <patternFill>
          <bgColor theme="3" tint="0.39997558519241921"/>
        </patternFill>
      </fill>
    </dxf>
  </rfmt>
  <rcc rId="11243" sId="2" numFmtId="4">
    <oc r="I155">
      <v>0</v>
    </oc>
    <nc r="I155">
      <v>4300000</v>
    </nc>
  </rcc>
  <rfmt sheetId="2" sqref="I155">
    <dxf>
      <fill>
        <patternFill>
          <bgColor theme="3" tint="0.39997558519241921"/>
        </patternFill>
      </fill>
    </dxf>
  </rfmt>
  <rcc rId="11244" sId="2" numFmtId="4">
    <oc r="I157">
      <v>0</v>
    </oc>
    <nc r="I157">
      <v>617209200</v>
    </nc>
  </rcc>
  <rfmt sheetId="2" sqref="I157">
    <dxf>
      <fill>
        <patternFill>
          <bgColor theme="3" tint="0.39997558519241921"/>
        </patternFill>
      </fill>
    </dxf>
  </rfmt>
  <rcc rId="11245" sId="2" numFmtId="4">
    <oc r="I163">
      <v>0</v>
    </oc>
    <nc r="I163">
      <v>5330000</v>
    </nc>
  </rcc>
  <rfmt sheetId="2" sqref="I163">
    <dxf>
      <fill>
        <patternFill>
          <bgColor theme="3" tint="0.39997558519241921"/>
        </patternFill>
      </fill>
    </dxf>
  </rfmt>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46" sId="2" odxf="1" dxf="1" numFmtId="4">
    <oc r="I171">
      <v>0</v>
    </oc>
    <nc r="I171">
      <v>1565274.56</v>
    </nc>
    <odxf>
      <fill>
        <patternFill>
          <bgColor rgb="FFFFFF00"/>
        </patternFill>
      </fill>
    </odxf>
    <ndxf>
      <fill>
        <patternFill>
          <bgColor theme="0"/>
        </patternFill>
      </fill>
    </ndxf>
  </rcc>
  <rfmt sheetId="2" sqref="I171">
    <dxf>
      <fill>
        <patternFill>
          <bgColor theme="3" tint="0.39997558519241921"/>
        </patternFill>
      </fill>
    </dxf>
  </rfmt>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47" sId="2" numFmtId="4">
    <oc r="I167">
      <v>0</v>
    </oc>
    <nc r="I167">
      <v>111130</v>
    </nc>
  </rcc>
  <rfmt sheetId="2" sqref="I167">
    <dxf>
      <fill>
        <patternFill>
          <bgColor theme="3" tint="0.39997558519241921"/>
        </patternFill>
      </fill>
    </dxf>
  </rfmt>
  <rfmt sheetId="2" xfDxf="1" sqref="C142" start="0" length="0">
    <dxf>
      <font>
        <sz val="10"/>
        <name val="Times New Roman"/>
        <scheme val="none"/>
      </font>
      <fill>
        <patternFill patternType="solid">
          <bgColor theme="3" tint="0.39997558519241921"/>
        </patternFill>
      </fill>
      <alignment vertical="top" readingOrder="0"/>
      <border outline="0">
        <left style="thin">
          <color indexed="64"/>
        </left>
        <right style="thin">
          <color indexed="64"/>
        </right>
        <top style="thin">
          <color indexed="64"/>
        </top>
        <bottom style="thin">
          <color indexed="64"/>
        </bottom>
      </border>
    </dxf>
  </rfmt>
  <rfmt sheetId="2" sqref="C142" start="0" length="0">
    <dxf>
      <fill>
        <patternFill>
          <bgColor theme="0"/>
        </patternFill>
      </fill>
    </dxf>
  </rfmt>
  <rfmt sheetId="2" sqref="C142">
    <dxf>
      <numFmt numFmtId="2" formatCode="0.00"/>
    </dxf>
  </rfmt>
  <rfmt sheetId="2" sqref="C142">
    <dxf>
      <fill>
        <patternFill>
          <bgColor theme="3" tint="0.39997558519241921"/>
        </patternFill>
      </fill>
    </dxf>
  </rfmt>
  <rcc rId="11248" sId="2">
    <oc r="E142">
      <v>863</v>
    </oc>
    <nc r="E142" t="inlineStr">
      <is>
        <t>Отдел по управлению муниципальным имуществом администрации муниципального округа "Инта"</t>
      </is>
    </nc>
  </rcc>
  <rcc rId="11249" sId="2">
    <oc r="C142">
      <v>863</v>
    </oc>
    <nc r="C142" t="inlineStr">
      <is>
        <t>963 2 02 25599 14 0000 150</t>
      </is>
    </nc>
  </rcc>
  <rcv guid="{65685584-75D0-4A51-AE28-5C7D20707FBD}" action="delete"/>
  <rdn rId="0" localSheetId="1" customView="1" name="Z_65685584_75D0_4A51_AE28_5C7D20707FBD_.wvu.PrintArea" hidden="1" oldHidden="1">
    <formula>'на 01.07.'!$A$4:$L$175</formula>
    <oldFormula>'на 01.07.'!$A$4:$L$175</oldFormula>
  </rdn>
  <rdn rId="0" localSheetId="1" customView="1" name="Z_65685584_75D0_4A51_AE28_5C7D20707FBD_.wvu.PrintTitles" hidden="1" oldHidden="1">
    <formula>'на 01.07.'!$4:$6</formula>
    <oldFormula>'на 01.07.'!$4:$6</oldFormula>
  </rdn>
  <rdn rId="0" localSheetId="1" customView="1" name="Z_65685584_75D0_4A51_AE28_5C7D20707FBD_.wvu.Cols" hidden="1" oldHidden="1">
    <formula>'на 01.07.'!$A:$B,'на 01.07.'!$F:$F</formula>
    <oldFormula>'на 01.07.'!$A:$B,'на 01.07.'!$F:$F</oldFormula>
  </rdn>
  <rdn rId="0" localSheetId="2" customView="1" name="Z_65685584_75D0_4A51_AE28_5C7D20707FBD_.wvu.PrintArea" hidden="1" oldHidden="1">
    <formula>Лист1!$C$1:$M$175</formula>
    <oldFormula>Лист1!$C$1:$M$175</oldFormula>
  </rdn>
  <rdn rId="0" localSheetId="2" customView="1" name="Z_65685584_75D0_4A51_AE28_5C7D20707FBD_.wvu.PrintTitles" hidden="1" oldHidden="1">
    <formula>Лист1!$5:$7</formula>
    <oldFormula>Лист1!$5:$7</oldFormula>
  </rdn>
  <rdn rId="0" localSheetId="2" customView="1" name="Z_65685584_75D0_4A51_AE28_5C7D20707FBD_.wvu.Rows" hidden="1" oldHidden="1">
    <formula>Лист1!$104:$104,Лист1!$106:$107,Лист1!$109:$109,Лист1!$125:$125,Лист1!$127:$127,Лист1!$133:$133</formula>
    <oldFormula>Лист1!$104:$104,Лист1!$106:$107,Лист1!$109:$109,Лист1!$125:$125,Лист1!$127:$127,Лист1!$133:$133</oldFormula>
  </rdn>
  <rdn rId="0" localSheetId="2" customView="1" name="Z_65685584_75D0_4A51_AE28_5C7D20707FBD_.wvu.Cols" hidden="1" oldHidden="1">
    <formula>Лист1!$A:$B,Лист1!$F:$F,Лист1!$N:$N</formula>
    <oldFormula>Лист1!$A:$B,Лист1!$F:$F,Лист1!$N:$N</oldFormula>
  </rdn>
  <rdn rId="0" localSheetId="2" customView="1" name="Z_65685584_75D0_4A51_AE28_5C7D20707FBD_.wvu.FilterData" hidden="1" oldHidden="1">
    <formula>Лист1!$C$141:$M$175</formula>
    <oldFormula>Лист1!$C$129:$M$175</oldFormula>
  </rdn>
  <rcv guid="{65685584-75D0-4A51-AE28-5C7D20707FBD}" action="add"/>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58" sId="2">
    <oc r="D142" t="inlineStr">
      <is>
        <t>Субсиди на подготовку проектов межевания территории для выполнения комплексных кадастровых работ</t>
      </is>
    </oc>
    <nc r="D142" t="inlineStr">
      <is>
        <t>Субсидия на подготовку проектов межевания территории для выполнения комплексных кадастровых работ</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152">
    <dxf>
      <fill>
        <patternFill>
          <bgColor theme="3" tint="0.59999389629810485"/>
        </patternFill>
      </fill>
    </dxf>
  </rfmt>
  <rcc rId="11268" sId="2" numFmtId="4">
    <oc r="I147">
      <v>13338100</v>
    </oc>
    <nc r="I147">
      <v>12004281</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1:I1048576">
    <dxf>
      <fill>
        <patternFill>
          <bgColor theme="0"/>
        </patternFill>
      </fill>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J102:M102">
    <dxf>
      <fill>
        <patternFill>
          <bgColor theme="0"/>
        </patternFill>
      </fill>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69" sId="2" numFmtId="4">
    <oc r="I152">
      <v>365704186.63999999</v>
    </oc>
    <nc r="I152">
      <v>364960436.26999998</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142">
    <dxf>
      <fill>
        <patternFill>
          <bgColor theme="0"/>
        </patternFill>
      </fill>
    </dxf>
  </rfmt>
  <rcc rId="11270" sId="2" numFmtId="4">
    <oc r="C158">
      <v>8909900051180</v>
    </oc>
    <nc r="C158" t="inlineStr">
      <is>
        <t>923 2 02 35118 14 0000 150</t>
      </is>
    </nc>
  </rcc>
  <rcc rId="11271" sId="2">
    <oc r="E158">
      <v>890</v>
    </oc>
    <nc r="E158" t="inlineStr">
      <is>
        <t xml:space="preserve">Администрация муниципального округа "Инта"  </t>
      </is>
    </nc>
  </rcc>
  <rcv guid="{65685584-75D0-4A51-AE28-5C7D20707FBD}" action="delete"/>
  <rdn rId="0" localSheetId="1" customView="1" name="Z_65685584_75D0_4A51_AE28_5C7D20707FBD_.wvu.PrintArea" hidden="1" oldHidden="1">
    <formula>'на 01.07.'!$A$4:$L$175</formula>
    <oldFormula>'на 01.07.'!$A$4:$L$175</oldFormula>
  </rdn>
  <rdn rId="0" localSheetId="1" customView="1" name="Z_65685584_75D0_4A51_AE28_5C7D20707FBD_.wvu.PrintTitles" hidden="1" oldHidden="1">
    <formula>'на 01.07.'!$4:$6</formula>
    <oldFormula>'на 01.07.'!$4:$6</oldFormula>
  </rdn>
  <rdn rId="0" localSheetId="1" customView="1" name="Z_65685584_75D0_4A51_AE28_5C7D20707FBD_.wvu.Cols" hidden="1" oldHidden="1">
    <formula>'на 01.07.'!$A:$B,'на 01.07.'!$F:$F</formula>
    <oldFormula>'на 01.07.'!$A:$B,'на 01.07.'!$F:$F</oldFormula>
  </rdn>
  <rdn rId="0" localSheetId="2" customView="1" name="Z_65685584_75D0_4A51_AE28_5C7D20707FBD_.wvu.PrintArea" hidden="1" oldHidden="1">
    <formula>Лист1!$C$1:$M$175</formula>
    <oldFormula>Лист1!$C$1:$M$175</oldFormula>
  </rdn>
  <rdn rId="0" localSheetId="2" customView="1" name="Z_65685584_75D0_4A51_AE28_5C7D20707FBD_.wvu.PrintTitles" hidden="1" oldHidden="1">
    <formula>Лист1!$5:$7</formula>
    <oldFormula>Лист1!$5:$7</oldFormula>
  </rdn>
  <rdn rId="0" localSheetId="2" customView="1" name="Z_65685584_75D0_4A51_AE28_5C7D20707FBD_.wvu.Rows" hidden="1" oldHidden="1">
    <formula>Лист1!$104:$104,Лист1!$106:$107,Лист1!$109:$109,Лист1!$125:$125,Лист1!$127:$127,Лист1!$133:$133</formula>
    <oldFormula>Лист1!$104:$104,Лист1!$106:$107,Лист1!$109:$109,Лист1!$125:$125,Лист1!$127:$127,Лист1!$133:$133</oldFormula>
  </rdn>
  <rdn rId="0" localSheetId="2" customView="1" name="Z_65685584_75D0_4A51_AE28_5C7D20707FBD_.wvu.Cols" hidden="1" oldHidden="1">
    <formula>Лист1!$A:$B,Лист1!$F:$F,Лист1!$N:$N</formula>
    <oldFormula>Лист1!$A:$B,Лист1!$F:$F,Лист1!$N:$N</oldFormula>
  </rdn>
  <rdn rId="0" localSheetId="2" customView="1" name="Z_65685584_75D0_4A51_AE28_5C7D20707FBD_.wvu.FilterData" hidden="1" oldHidden="1">
    <formula>Лист1!$C$141:$M$175</formula>
    <oldFormula>Лист1!$C$141:$M$175</oldFormula>
  </rdn>
  <rcv guid="{65685584-75D0-4A51-AE28-5C7D20707FBD}"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04" sId="2" numFmtId="4">
    <oc r="K138">
      <v>456969600</v>
    </oc>
    <nc r="K138">
      <v>519649600</v>
    </nc>
  </rcc>
  <rcc rId="10805" sId="2" numFmtId="4">
    <oc r="L138">
      <v>396826000</v>
    </oc>
    <nc r="L138">
      <v>394280500</v>
    </nc>
  </rcc>
  <rcc rId="10806" sId="2" numFmtId="4">
    <oc r="M138">
      <v>394280500</v>
    </oc>
    <nc r="M138">
      <v>480403600</v>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5685584-75D0-4A51-AE28-5C7D20707FBD}" action="delete"/>
  <rdn rId="0" localSheetId="1" customView="1" name="Z_65685584_75D0_4A51_AE28_5C7D20707FBD_.wvu.PrintArea" hidden="1" oldHidden="1">
    <formula>'на 01.07.'!$A$4:$L$175</formula>
    <oldFormula>'на 01.07.'!$A$4:$L$175</oldFormula>
  </rdn>
  <rdn rId="0" localSheetId="1" customView="1" name="Z_65685584_75D0_4A51_AE28_5C7D20707FBD_.wvu.PrintTitles" hidden="1" oldHidden="1">
    <formula>'на 01.07.'!$4:$6</formula>
    <oldFormula>'на 01.07.'!$4:$6</oldFormula>
  </rdn>
  <rdn rId="0" localSheetId="1" customView="1" name="Z_65685584_75D0_4A51_AE28_5C7D20707FBD_.wvu.Cols" hidden="1" oldHidden="1">
    <formula>'на 01.07.'!$A:$B,'на 01.07.'!$F:$F</formula>
    <oldFormula>'на 01.07.'!$A:$B,'на 01.07.'!$F:$F</oldFormula>
  </rdn>
  <rdn rId="0" localSheetId="2" customView="1" name="Z_65685584_75D0_4A51_AE28_5C7D20707FBD_.wvu.PrintArea" hidden="1" oldHidden="1">
    <formula>Лист1!$C$1:$M$174</formula>
    <oldFormula>Лист1!$C$1:$M$174</oldFormula>
  </rdn>
  <rdn rId="0" localSheetId="2" customView="1" name="Z_65685584_75D0_4A51_AE28_5C7D20707FBD_.wvu.PrintTitles" hidden="1" oldHidden="1">
    <formula>Лист1!$5:$7</formula>
    <oldFormula>Лист1!$5:$7</oldFormula>
  </rdn>
  <rdn rId="0" localSheetId="2" customView="1" name="Z_65685584_75D0_4A51_AE28_5C7D20707FBD_.wvu.Cols" hidden="1" oldHidden="1">
    <formula>Лист1!$A:$B,Лист1!$F:$F,Лист1!$N:$N</formula>
    <oldFormula>Лист1!$A:$B,Лист1!$F:$F,Лист1!$N:$N</oldFormula>
  </rdn>
  <rdn rId="0" localSheetId="2" customView="1" name="Z_65685584_75D0_4A51_AE28_5C7D20707FBD_.wvu.FilterData" hidden="1" oldHidden="1">
    <formula>Лист1!$C$7:$M$174</formula>
    <oldFormula>Лист1!$C$7:$M$174</oldFormula>
  </rdn>
  <rcv guid="{65685584-75D0-4A51-AE28-5C7D20707FBD}" action="add"/>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K138:M138">
    <dxf>
      <fill>
        <patternFill>
          <bgColor rgb="FFFFFF00"/>
        </patternFill>
      </fill>
    </dxf>
  </rfmt>
  <rcc rId="10814" sId="2" numFmtId="4">
    <oc r="K139">
      <v>227281800</v>
    </oc>
    <nc r="K139">
      <v>146725500</v>
    </nc>
  </rcc>
  <rfmt sheetId="2" sqref="K139">
    <dxf>
      <fill>
        <patternFill>
          <bgColor rgb="FFFFFF00"/>
        </patternFill>
      </fill>
    </dxf>
  </rfmt>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15" sId="2" numFmtId="4">
    <oc r="K12">
      <v>175880000</v>
    </oc>
    <nc r="K12">
      <v>200190000</v>
    </nc>
  </rcc>
  <rfmt sheetId="2" sqref="K12">
    <dxf>
      <fill>
        <patternFill>
          <bgColor rgb="FFFFFF00"/>
        </patternFill>
      </fill>
    </dxf>
  </rfmt>
  <rcc rId="10816" sId="2" numFmtId="4">
    <oc r="L12">
      <v>181000000</v>
    </oc>
    <nc r="L12">
      <v>215711000</v>
    </nc>
  </rcc>
  <rcc rId="10817" sId="2" numFmtId="4">
    <oc r="M12">
      <v>187000000</v>
    </oc>
    <nc r="M12">
      <v>232830000</v>
    </nc>
  </rcc>
  <rfmt sheetId="2" sqref="L12:M12">
    <dxf>
      <fill>
        <patternFill>
          <bgColor rgb="FFFFFF00"/>
        </patternFill>
      </fill>
    </dxf>
  </rfmt>
  <rcc rId="10818" sId="2" numFmtId="4">
    <oc r="K13">
      <v>505000</v>
    </oc>
    <nc r="K13">
      <v>389000</v>
    </nc>
  </rcc>
  <rcc rId="10819" sId="2" numFmtId="4">
    <oc r="L13">
      <v>540000</v>
    </oc>
    <nc r="L13">
      <v>392000</v>
    </nc>
  </rcc>
  <rcc rId="10820" sId="2" numFmtId="4">
    <oc r="M13">
      <v>560000</v>
    </oc>
    <nc r="M13">
      <v>399000</v>
    </nc>
  </rcc>
  <rfmt sheetId="2" sqref="K13:M13">
    <dxf>
      <fill>
        <patternFill>
          <bgColor rgb="FFFFFF00"/>
        </patternFill>
      </fill>
    </dxf>
  </rfmt>
  <rcc rId="10821" sId="2" numFmtId="4">
    <oc r="K14">
      <v>505000</v>
    </oc>
    <nc r="K14">
      <v>0</v>
    </nc>
  </rcc>
  <rcc rId="10822" sId="2" numFmtId="4">
    <oc r="L14">
      <v>540000</v>
    </oc>
    <nc r="L14">
      <v>0</v>
    </nc>
  </rcc>
  <rcc rId="10823" sId="2" numFmtId="4">
    <oc r="M14">
      <v>560000</v>
    </oc>
    <nc r="M14">
      <v>0</v>
    </nc>
  </rcc>
  <rcc rId="10824" sId="2" numFmtId="4">
    <oc r="K15">
      <v>1060000</v>
    </oc>
    <nc r="K15">
      <v>971000</v>
    </nc>
  </rcc>
  <rcc rId="10825" sId="2" numFmtId="4">
    <oc r="L15">
      <v>1100000</v>
    </oc>
    <nc r="L15">
      <v>975000</v>
    </nc>
  </rcc>
  <rcc rId="10826" sId="2" numFmtId="4">
    <oc r="M15">
      <v>1200000</v>
    </oc>
    <nc r="M15">
      <v>982000</v>
    </nc>
  </rcc>
  <rfmt sheetId="2" sqref="K15:M15">
    <dxf>
      <fill>
        <patternFill>
          <bgColor rgb="FFFFFF00"/>
        </patternFill>
      </fill>
    </dxf>
  </rfmt>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27" sId="2" numFmtId="4">
    <oc r="K16">
      <v>70000</v>
    </oc>
    <nc r="K16">
      <v>73000</v>
    </nc>
  </rcc>
  <rcc rId="10828" sId="2" numFmtId="4">
    <oc r="L16">
      <v>70000</v>
    </oc>
    <nc r="L16">
      <v>73000</v>
    </nc>
  </rcc>
  <rcc rId="10829" sId="2" numFmtId="4">
    <oc r="M16">
      <v>70000</v>
    </oc>
    <nc r="M16">
      <v>74000</v>
    </nc>
  </rcc>
  <rfmt sheetId="2" sqref="K16:M16">
    <dxf>
      <fill>
        <patternFill>
          <bgColor rgb="FFFFFF00"/>
        </patternFill>
      </fill>
    </dxf>
  </rfmt>
  <rcc rId="10830" sId="2" numFmtId="4">
    <oc r="K17">
      <v>940000</v>
    </oc>
    <nc r="K17">
      <v>296000</v>
    </nc>
  </rcc>
  <rcc rId="10831" sId="2" numFmtId="4">
    <oc r="L17">
      <v>970000</v>
    </oc>
    <nc r="L17">
      <v>298000</v>
    </nc>
  </rcc>
  <rcc rId="10832" sId="2" numFmtId="4">
    <oc r="M17">
      <v>990000</v>
    </oc>
    <nc r="M17">
      <v>306000</v>
    </nc>
  </rcc>
  <rfmt sheetId="2" sqref="K17:M17">
    <dxf>
      <fill>
        <patternFill>
          <bgColor rgb="FFFFFF00"/>
        </patternFill>
      </fill>
    </dxf>
  </rfmt>
  <rcc rId="10833" sId="2" numFmtId="4">
    <oc r="K18">
      <v>45000</v>
    </oc>
    <nc r="K18">
      <v>69000</v>
    </nc>
  </rcc>
  <rcc rId="10834" sId="2" numFmtId="4">
    <oc r="L18">
      <v>50000</v>
    </oc>
    <nc r="L18">
      <v>70000</v>
    </nc>
  </rcc>
  <rcc rId="10835" sId="2" numFmtId="4">
    <oc r="M18">
      <v>50000</v>
    </oc>
    <nc r="M18">
      <v>72000</v>
    </nc>
  </rcc>
  <rfmt sheetId="2" sqref="K18:M18">
    <dxf>
      <fill>
        <patternFill>
          <bgColor rgb="FFFFFF00"/>
        </patternFill>
      </fill>
    </dxf>
  </rfmt>
  <rcc rId="10836" sId="2" numFmtId="4">
    <oc r="K19">
      <v>0</v>
    </oc>
    <nc r="K19">
      <v>12000</v>
    </nc>
  </rcc>
  <rcc rId="10837" sId="2" numFmtId="4">
    <oc r="L19">
      <v>0</v>
    </oc>
    <nc r="L19">
      <v>12000</v>
    </nc>
  </rcc>
  <rcc rId="10838" sId="2" numFmtId="4">
    <oc r="M19">
      <v>0</v>
    </oc>
    <nc r="M19">
      <v>12000</v>
    </nc>
  </rcc>
  <rfmt sheetId="2" sqref="K19:M19">
    <dxf>
      <fill>
        <patternFill>
          <bgColor rgb="FFFFFF00"/>
        </patternFill>
      </fill>
    </dxf>
  </rfmt>
  <rcc rId="10839" sId="2" numFmtId="4">
    <oc r="K24">
      <v>4335000</v>
    </oc>
    <nc r="K24">
      <v>5193000</v>
    </nc>
  </rcc>
  <rcc rId="10840" sId="2" numFmtId="4">
    <oc r="L24">
      <v>4500000</v>
    </oc>
    <nc r="L24">
      <v>6928000</v>
    </nc>
  </rcc>
  <rcc rId="10841" sId="2" numFmtId="4">
    <oc r="M24">
      <v>6000000</v>
    </oc>
    <nc r="M24">
      <v>6936000</v>
    </nc>
  </rcc>
  <rfmt sheetId="2" sqref="K24:M24">
    <dxf>
      <fill>
        <patternFill>
          <bgColor rgb="FFFFFF00"/>
        </patternFill>
      </fill>
    </dxf>
  </rfmt>
  <rcc rId="10842" sId="2" numFmtId="4">
    <oc r="K25">
      <v>20000</v>
    </oc>
    <nc r="K25">
      <v>25000</v>
    </nc>
  </rcc>
  <rcc rId="10843" sId="2" numFmtId="4">
    <oc r="L25">
      <v>20000</v>
    </oc>
    <nc r="L25">
      <v>34000</v>
    </nc>
  </rcc>
  <rcc rId="10844" sId="2" numFmtId="4">
    <oc r="M25">
      <v>30000</v>
    </oc>
    <nc r="M25">
      <v>34000</v>
    </nc>
  </rcc>
  <rfmt sheetId="2" sqref="K25:M25">
    <dxf>
      <fill>
        <patternFill>
          <bgColor rgb="FFFFFF00"/>
        </patternFill>
      </fill>
    </dxf>
  </rfmt>
  <rcc rId="10845" sId="2" numFmtId="4">
    <oc r="K26">
      <v>4388000</v>
    </oc>
    <nc r="K26">
      <v>5023000</v>
    </nc>
  </rcc>
  <rcc rId="10846" sId="2" numFmtId="4">
    <oc r="L26">
      <v>4500000</v>
    </oc>
    <nc r="L26">
      <v>6701000</v>
    </nc>
  </rcc>
  <rcc rId="10847" sId="2" numFmtId="4">
    <oc r="M26">
      <v>6000000</v>
    </oc>
    <nc r="M26">
      <v>6714000</v>
    </nc>
  </rcc>
  <rfmt sheetId="2" sqref="K26:M26">
    <dxf>
      <fill>
        <patternFill>
          <bgColor rgb="FFFFFF00"/>
        </patternFill>
      </fill>
    </dxf>
  </rfmt>
  <rcc rId="10848" sId="2" numFmtId="4">
    <oc r="K27">
      <v>-443000</v>
    </oc>
    <nc r="K27">
      <v>-317000</v>
    </nc>
  </rcc>
  <rcc rId="10849" sId="2" numFmtId="4">
    <oc r="L27">
      <v>-450000</v>
    </oc>
    <nc r="L27">
      <v>-406000</v>
    </nc>
  </rcc>
  <rcc rId="10850" sId="2" numFmtId="4">
    <oc r="M27">
      <v>-600000</v>
    </oc>
    <nc r="M27">
      <v>-391000</v>
    </nc>
  </rcc>
  <rfmt sheetId="2" sqref="K27:M27">
    <dxf>
      <fill>
        <patternFill>
          <bgColor rgb="FFFFFF00"/>
        </patternFill>
      </fill>
    </dxf>
  </rfmt>
  <rfmt sheetId="2" sqref="K10">
    <dxf>
      <fill>
        <patternFill>
          <bgColor rgb="FFFFFF00"/>
        </patternFill>
      </fill>
    </dxf>
  </rfmt>
  <rfmt sheetId="2" sqref="L10">
    <dxf>
      <fill>
        <patternFill>
          <bgColor rgb="FFFFFF00"/>
        </patternFill>
      </fill>
    </dxf>
  </rfmt>
  <rcc rId="10851" sId="2" numFmtId="4">
    <oc r="M12">
      <v>232830000</v>
    </oc>
    <nc r="M12">
      <v>231813000</v>
    </nc>
  </rcc>
  <rfmt sheetId="2" sqref="M10">
    <dxf>
      <fill>
        <patternFill>
          <bgColor rgb="FFFFFF00"/>
        </patternFill>
      </fill>
    </dxf>
  </rfmt>
  <rcc rId="10852" sId="2" numFmtId="4">
    <oc r="K31">
      <v>47200000</v>
    </oc>
    <nc r="K31">
      <v>30035000</v>
    </nc>
  </rcc>
  <rcc rId="10853" sId="2" numFmtId="4">
    <oc r="L31">
      <v>67500000</v>
    </oc>
    <nc r="L31">
      <v>30636000</v>
    </nc>
  </rcc>
  <rcc rId="10854" sId="2" numFmtId="4">
    <oc r="M31">
      <v>69200000</v>
    </oc>
    <nc r="M31">
      <v>31248000</v>
    </nc>
  </rcc>
  <rfmt sheetId="2" sqref="K31:M31">
    <dxf>
      <fill>
        <patternFill>
          <bgColor rgb="FFFFFF00"/>
        </patternFill>
      </fill>
    </dxf>
  </rfmt>
  <rcc rId="10855" sId="2" numFmtId="4">
    <oc r="K33">
      <v>29500000</v>
    </oc>
    <nc r="K33">
      <v>15955000</v>
    </nc>
  </rcc>
  <rcc rId="10856" sId="2" numFmtId="4">
    <oc r="L33">
      <v>42000000</v>
    </oc>
    <nc r="L33">
      <v>16274000</v>
    </nc>
  </rcc>
  <rcc rId="10857" sId="2" numFmtId="4">
    <oc r="M33">
      <v>43000000</v>
    </oc>
    <nc r="M33">
      <v>16600000</v>
    </nc>
  </rcc>
  <rfmt sheetId="2" sqref="K33:M33">
    <dxf>
      <fill>
        <patternFill>
          <bgColor rgb="FFFFFF00"/>
        </patternFill>
      </fill>
    </dxf>
  </rfmt>
  <rcc rId="10858" sId="2" numFmtId="4">
    <oc r="K37">
      <v>20000</v>
    </oc>
    <nc r="K37">
      <v>12000</v>
    </nc>
  </rcc>
  <rcc rId="10859" sId="2" numFmtId="4">
    <oc r="L37">
      <v>0</v>
    </oc>
    <nc r="L37">
      <v>8000</v>
    </nc>
  </rcc>
  <rcc rId="10860" sId="2" numFmtId="4">
    <oc r="M37">
      <v>0</v>
    </oc>
    <nc r="M37">
      <v>7000</v>
    </nc>
  </rcc>
  <rfmt sheetId="2" sqref="K37:M37">
    <dxf>
      <fill>
        <patternFill>
          <bgColor rgb="FFFFFF00"/>
        </patternFill>
      </fill>
    </dxf>
  </rfmt>
  <rcc rId="10861" sId="2" numFmtId="4">
    <oc r="K39">
      <v>20000</v>
    </oc>
    <nc r="K39">
      <v>52000</v>
    </nc>
  </rcc>
  <rcc rId="10862" sId="2" numFmtId="4">
    <oc r="L39">
      <v>20000</v>
    </oc>
    <nc r="L39">
      <v>60000</v>
    </nc>
  </rcc>
  <rcc rId="10863" sId="2" numFmtId="4">
    <oc r="M39">
      <v>20000</v>
    </oc>
    <nc r="M39">
      <v>60000</v>
    </nc>
  </rcc>
  <rfmt sheetId="2" sqref="K39:M39">
    <dxf>
      <fill>
        <patternFill>
          <bgColor rgb="FFFFFF00"/>
        </patternFill>
      </fill>
    </dxf>
  </rfmt>
  <rcc rId="10864" sId="2" numFmtId="4">
    <oc r="K42">
      <v>4160000</v>
    </oc>
    <nc r="K42">
      <v>0</v>
    </nc>
  </rcc>
  <rcc rId="10865" sId="2" numFmtId="4">
    <oc r="L42">
      <v>4300000</v>
    </oc>
    <nc r="L42">
      <v>0</v>
    </nc>
  </rcc>
  <rcc rId="10866" sId="2" numFmtId="4">
    <oc r="M42">
      <v>4400000</v>
    </oc>
    <nc r="M42">
      <v>0</v>
    </nc>
  </rcc>
  <rcc rId="10867" sId="2" numFmtId="4">
    <oc r="K41">
      <v>4160000</v>
    </oc>
    <nc r="K41">
      <v>1489000</v>
    </nc>
  </rcc>
  <rcc rId="10868" sId="2" numFmtId="4">
    <oc r="L41">
      <v>4300000</v>
    </oc>
    <nc r="L41">
      <v>1589000</v>
    </nc>
  </rcc>
  <rcc rId="10869" sId="2" numFmtId="4">
    <oc r="M41">
      <v>4400000</v>
    </oc>
    <nc r="M41">
      <v>1683000</v>
    </nc>
  </rcc>
  <rfmt sheetId="2" sqref="K41:M41">
    <dxf>
      <fill>
        <patternFill>
          <bgColor rgb="FFFFFF00"/>
        </patternFill>
      </fill>
    </dxf>
  </rfmt>
  <rcc rId="10870" sId="2" numFmtId="4">
    <oc r="K45">
      <v>2100000</v>
    </oc>
    <nc r="K45">
      <v>0</v>
    </nc>
  </rcc>
  <rcc rId="10871" sId="2" numFmtId="4">
    <oc r="L45">
      <v>2100000</v>
    </oc>
    <nc r="L45">
      <v>0</v>
    </nc>
  </rcc>
  <rcc rId="10872" sId="2" numFmtId="4">
    <oc r="M45">
      <v>2200000</v>
    </oc>
    <nc r="M45">
      <v>0</v>
    </nc>
  </rcc>
  <rcc rId="10873" sId="2" numFmtId="4">
    <oc r="K48">
      <v>510000</v>
    </oc>
    <nc r="K48">
      <v>530000</v>
    </nc>
  </rcc>
  <rcc rId="10874" sId="2" numFmtId="4">
    <oc r="L48">
      <v>500000</v>
    </oc>
    <nc r="L48">
      <v>540000</v>
    </nc>
  </rcc>
  <rcc rId="10875" sId="2" numFmtId="4">
    <oc r="M48">
      <v>500000</v>
    </oc>
    <nc r="M48">
      <v>550000</v>
    </nc>
  </rcc>
  <rfmt sheetId="2" sqref="K48:M48">
    <dxf>
      <fill>
        <patternFill>
          <bgColor rgb="FFFFFF00"/>
        </patternFill>
      </fill>
    </dxf>
  </rfmt>
  <rcc rId="10876" sId="2" numFmtId="4">
    <oc r="L50">
      <v>400000</v>
    </oc>
    <nc r="L50">
      <v>405000</v>
    </nc>
  </rcc>
  <rcc rId="10877" sId="2" numFmtId="4">
    <oc r="M50">
      <v>400000</v>
    </oc>
    <nc r="M50">
      <v>410000</v>
    </nc>
  </rcc>
  <rfmt sheetId="2" sqref="K50:M50">
    <dxf>
      <fill>
        <patternFill>
          <bgColor rgb="FFFFFF00"/>
        </patternFill>
      </fill>
    </dxf>
  </rfmt>
  <rcc rId="10878" sId="2" numFmtId="4">
    <oc r="K52">
      <f>K53</f>
    </oc>
    <nc r="K52">
      <v>22800000</v>
    </nc>
  </rcc>
  <rcc rId="10879" sId="2" numFmtId="4">
    <oc r="L52">
      <f>L53</f>
    </oc>
    <nc r="L52">
      <v>23000000</v>
    </nc>
  </rcc>
  <rcc rId="10880" sId="2" numFmtId="4">
    <oc r="M52">
      <f>M53</f>
    </oc>
    <nc r="M52">
      <v>23250000</v>
    </nc>
  </rcc>
  <rfmt sheetId="2" sqref="K52:M52">
    <dxf>
      <fill>
        <patternFill>
          <bgColor rgb="FFFFFF00"/>
        </patternFill>
      </fill>
    </dxf>
  </rfmt>
  <rcc rId="10881" sId="2" numFmtId="4">
    <nc r="K145">
      <v>781987490</v>
    </nc>
  </rcc>
  <rcc rId="10882" sId="2" numFmtId="4">
    <nc r="L145">
      <v>0</v>
    </nc>
  </rcc>
  <rcc rId="10883" sId="2" numFmtId="4">
    <nc r="M145">
      <v>0</v>
    </nc>
  </rcc>
  <rfmt sheetId="2" sqref="K145:M145">
    <dxf>
      <fill>
        <patternFill>
          <bgColor rgb="FFFFFF00"/>
        </patternFill>
      </fill>
    </dxf>
  </rfmt>
  <rcc rId="10884" sId="2" numFmtId="4">
    <oc r="K149">
      <v>11606683</v>
    </oc>
    <nc r="K149">
      <v>24238600</v>
    </nc>
  </rcc>
  <rfmt sheetId="2" sqref="K149:M149">
    <dxf>
      <fill>
        <patternFill>
          <bgColor rgb="FFFFFF00"/>
        </patternFill>
      </fill>
    </dxf>
  </rfmt>
  <rcc rId="10885" sId="2" numFmtId="4">
    <oc r="L149">
      <v>11606683</v>
    </oc>
    <nc r="L149">
      <v>23634115</v>
    </nc>
  </rcc>
  <rcc rId="10886" sId="2" numFmtId="4">
    <oc r="M149">
      <v>11606683</v>
    </oc>
    <nc r="M149">
      <v>23761100</v>
    </nc>
  </rcc>
  <rfmt sheetId="2" sqref="K152:M152">
    <dxf>
      <fill>
        <patternFill>
          <bgColor rgb="FFFFFF00"/>
        </patternFill>
      </fill>
    </dxf>
  </rfmt>
  <rcc rId="10887" sId="2">
    <oc r="K152">
      <f>80624100+43949600+124029014+2071886+2167403.54+6291737.76+5422393.14+4507824.48</f>
    </oc>
    <nc r="K152">
      <f>18963450+10241272.82+2345301.06+121208105+6829891.94+84203700+58033600</f>
    </nc>
  </rcc>
  <rcc rId="10888" sId="2">
    <oc r="L152">
      <f>80624100+43949600+124127056+2333660+2167403.54+6291737.76+5734687.26+4291140.88</f>
    </oc>
    <nc r="L152">
      <f>10650709.18+2345301.06+121208105+6827372.78+84203700+58033600</f>
    </nc>
  </rcc>
  <rcc rId="10889" sId="2">
    <oc r="M152">
      <f>80624100+43949600+124127056+2333660+2167403.54+6291737.76+5739840.74+4257806.39+731610</f>
    </oc>
    <nc r="M152">
      <f>11076236.93+2345301.06+121208105+6829213.98+84203700+58033600</f>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90" sId="2">
    <oc r="K152">
      <f>18963450+10241272.82+2345301.06+121208105+6829891.94+84203700+58033600</f>
    </oc>
    <nc r="K152">
      <f>18963450+10241272.82+2345301.06+121208105+6829891.94+84203700+58033600+199304</f>
    </nc>
  </rcc>
  <rcc rId="10891" sId="2">
    <oc r="L152">
      <f>10650709.18+2345301.06+121208105+6827372.78+84203700+58033600</f>
    </oc>
    <nc r="L152">
      <f>10650709.18+2345301.06+121208105+6827372.78+84203700+58033600+199304</f>
    </nc>
  </rcc>
  <rcc rId="10892" sId="2">
    <oc r="M152">
      <f>11076236.93+2345301.06+121208105+6829213.98+84203700+58033600</f>
    </oc>
    <nc r="M152">
      <f>11076236.93+2345301.06+121208105+6829213.98+84203700+58033600+199304</f>
    </nc>
  </rcc>
  <rfmt sheetId="2" sqref="K154:M154">
    <dxf>
      <fill>
        <patternFill>
          <bgColor rgb="FFFFFF00"/>
        </patternFill>
      </fill>
    </dxf>
  </rfmt>
  <rcc rId="10893" sId="2">
    <oc r="K154">
      <f>82872+13800+1562300+1963312+38300+142370+1000000+3254700+59000+277261.83</f>
    </oc>
    <nc r="K154">
      <f>237562.2+166612+1835000+97400+37300+6200+1000000+3811400+16200+69300+2634441</f>
    </nc>
  </rcc>
  <rcc rId="10894" sId="2">
    <oc r="L154">
      <f>82872+13800+1562300+2035524+38300+142370+1000000+3254700+59000+277261.83</f>
    </oc>
    <nc r="L154">
      <f>237562.2+166612+1835000+97400+6200+37300+1000000+3811400+16200+69300+2423827</f>
    </nc>
  </rcc>
  <rcc rId="10895" sId="2">
    <oc r="M154">
      <f>82872+13800+1562300+2035524+38300+142370+1000000+3254700+59000+277261.83</f>
    </oc>
    <nc r="M154">
      <f>237562.2+166612+1835000+97400+6200+37300+1000000+3811400+16200+69300+2490544</f>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96" sId="2" numFmtId="4">
    <oc r="K155">
      <v>8667400</v>
    </oc>
    <nc r="K155">
      <v>4060000</v>
    </nc>
  </rcc>
  <rcc rId="10897" sId="2" numFmtId="4">
    <oc r="L155">
      <v>8667400</v>
    </oc>
    <nc r="L155">
      <v>4060000</v>
    </nc>
  </rcc>
  <rcc rId="10898" sId="2" numFmtId="4">
    <oc r="M155">
      <v>8667400</v>
    </oc>
    <nc r="M155">
      <v>4060000</v>
    </nc>
  </rcc>
  <rfmt sheetId="2" sqref="K155:M155">
    <dxf>
      <fill>
        <patternFill>
          <bgColor rgb="FFFFFF00"/>
        </patternFill>
      </fill>
    </dxf>
  </rfmt>
  <rfmt sheetId="2" sqref="K157:M157">
    <dxf>
      <fill>
        <patternFill>
          <bgColor rgb="FFFFFF00"/>
        </patternFill>
      </fill>
    </dxf>
  </rfmt>
  <rcc rId="10899" sId="2" numFmtId="4">
    <oc r="K156">
      <v>14865</v>
    </oc>
    <nc r="K156">
      <v>275468</v>
    </nc>
  </rcc>
  <rcc rId="10900" sId="2" numFmtId="4">
    <oc r="L156">
      <v>317241</v>
    </oc>
    <nc r="L156">
      <v>10519</v>
    </nc>
  </rcc>
  <rcc rId="10901" sId="2" numFmtId="4">
    <oc r="M156">
      <v>317241</v>
    </oc>
    <nc r="M156">
      <v>11408</v>
    </nc>
  </rcc>
  <rfmt sheetId="2" sqref="K156:M156">
    <dxf>
      <fill>
        <patternFill>
          <bgColor rgb="FFFFFF00"/>
        </patternFill>
      </fill>
    </dxf>
  </rfmt>
  <rrc rId="10902" sId="2" ref="A157:XFD157" action="insertRow">
    <undo index="2" exp="area" ref3D="1" dr="$F$1:$F$1048576" dn="Z_AB892BF4_7159_4365_ABCF_F353B99C910F_.wvu.Cols" sId="2"/>
    <undo index="1" exp="area" ref3D="1" dr="$A$1:$B$1048576" dn="Z_AB892BF4_7159_4365_ABCF_F353B99C910F_.wvu.Cols" sId="2"/>
    <undo index="4" exp="area" ref3D="1" dr="$N$1:$N$1048576" dn="Z_65685584_75D0_4A51_AE28_5C7D20707FBD_.wvu.Cols" sId="2"/>
    <undo index="2" exp="area" ref3D="1" dr="$F$1:$F$1048576" dn="Z_65685584_75D0_4A51_AE28_5C7D20707FBD_.wvu.Cols" sId="2"/>
    <undo index="1" exp="area" ref3D="1" dr="$A$1:$B$1048576" dn="Z_65685584_75D0_4A51_AE28_5C7D20707FBD_.wvu.Cols" sId="2"/>
    <undo index="12" exp="area" ref3D="1" dr="$A$167:$XFD$168" dn="Z_5BFBE340_7A77_4A81_BD8D_F4A5E4682C7D_.wvu.Rows" sId="2"/>
    <undo index="2" exp="area" ref3D="1" dr="$F$1:$F$1048576" dn="Z_5BFBE340_7A77_4A81_BD8D_F4A5E4682C7D_.wvu.Cols" sId="2"/>
    <undo index="1" exp="area" ref3D="1" dr="$A$1:$B$1048576" dn="Z_5BFBE340_7A77_4A81_BD8D_F4A5E4682C7D_.wvu.Cols" sId="2"/>
    <undo index="2" exp="area" ref3D="1" dr="$F$1:$F$1048576" dn="Z_59B1F92E_3080_4B3C_AB43_7CBA0A8FFB6D_.wvu.Cols" sId="2"/>
    <undo index="1" exp="area" ref3D="1" dr="$A$1:$B$1048576" dn="Z_59B1F92E_3080_4B3C_AB43_7CBA0A8FFB6D_.wvu.Cols" sId="2"/>
    <undo index="4" exp="area" ref3D="1" dr="$O$1:$O$1048576" dn="Z_10B69522_62AE_4313_859A_9E4F497E803C_.wvu.Cols" sId="2"/>
    <undo index="2" exp="area" ref3D="1" dr="$F$1:$F$1048576" dn="Z_10B69522_62AE_4313_859A_9E4F497E803C_.wvu.Cols" sId="2"/>
    <undo index="1" exp="area" ref3D="1" dr="$A$1:$B$1048576" dn="Z_10B69522_62AE_4313_859A_9E4F497E803C_.wvu.Cols" sId="2"/>
  </rrc>
  <rcc rId="10903" sId="2">
    <nc r="C157" t="inlineStr">
      <is>
        <t>975 2 02 39999 14 0000 150</t>
      </is>
    </nc>
  </rcc>
  <rcc rId="10904" sId="2">
    <nc r="D157" t="inlineStr">
      <is>
        <t>Прочие субвенции бюджетам муниципальных округов</t>
      </is>
    </nc>
  </rcc>
  <rcc rId="10905" sId="2">
    <nc r="E157" t="inlineStr">
      <is>
        <t>Отдел образования администрации муниципального округа "Инта" (975)</t>
      </is>
    </nc>
  </rcc>
  <rcc rId="10906" sId="2" numFmtId="4">
    <nc r="G157">
      <v>597522000</v>
    </nc>
  </rcc>
  <rcc rId="10907" sId="2" numFmtId="4">
    <nc r="H157">
      <v>463902800</v>
    </nc>
  </rcc>
  <rcc rId="10908" sId="2" numFmtId="4">
    <nc r="I157">
      <v>0</v>
    </nc>
  </rcc>
  <rcc rId="10909" sId="2" odxf="1" dxf="1">
    <nc r="J157">
      <f>I157-G157</f>
    </nc>
    <odxf>
      <font>
        <b/>
        <sz val="10"/>
        <name val="Times New Roman"/>
        <scheme val="none"/>
      </font>
    </odxf>
    <ndxf>
      <font>
        <b val="0"/>
        <sz val="10"/>
        <name val="Times New Roman"/>
        <scheme val="none"/>
      </font>
    </ndxf>
  </rcc>
  <rcc rId="10910" sId="2" numFmtId="4">
    <nc r="K157">
      <v>588639800</v>
    </nc>
  </rcc>
  <rcc rId="10911" sId="2" numFmtId="4">
    <nc r="L157">
      <v>588639800</v>
    </nc>
  </rcc>
  <rcc rId="10912" sId="2" numFmtId="4">
    <nc r="M157">
      <v>588639800</v>
    </nc>
  </rcc>
  <rcc rId="10913" sId="2">
    <oc r="E158" t="inlineStr">
      <is>
        <t>Отдел образования администрации муниципального округа "Инта" (975)</t>
      </is>
    </oc>
    <nc r="E158"/>
  </rcc>
  <rcc rId="10914" sId="2" numFmtId="4">
    <oc r="G158">
      <v>597522000</v>
    </oc>
    <nc r="G158">
      <v>0</v>
    </nc>
  </rcc>
  <rcc rId="10915" sId="2" numFmtId="4">
    <oc r="H158">
      <v>463902800</v>
    </oc>
    <nc r="H158">
      <v>0</v>
    </nc>
  </rcc>
  <rcc rId="10916" sId="2" numFmtId="4">
    <oc r="K158">
      <v>558443300</v>
    </oc>
    <nc r="K158">
      <v>611961</v>
    </nc>
  </rcc>
  <rcc rId="10917" sId="2" numFmtId="4">
    <oc r="L158">
      <v>558443300</v>
    </oc>
    <nc r="L158">
      <v>681434</v>
    </nc>
  </rcc>
  <rcc rId="10918" sId="2" numFmtId="4">
    <oc r="M158">
      <v>558443300</v>
    </oc>
    <nc r="M158">
      <v>864813</v>
    </nc>
  </rcc>
  <rcc rId="10919" sId="2">
    <oc r="C158" t="inlineStr">
      <is>
        <t>975 2 02 39999 14 0000 150</t>
      </is>
    </oc>
    <nc r="C158" t="inlineStr">
      <is>
        <t>2 02 35118 00</t>
      </is>
    </nc>
  </rcc>
  <rcc rId="10920" sId="2">
    <oc r="D158" t="inlineStr">
      <is>
        <t>Прочие субвенции бюджетам муниципальных округов</t>
      </is>
    </oc>
    <nc r="D158" t="inlineStr">
      <is>
        <t>Субвенция на осуществление первичного воинского учета органами местного самоуправления поселений, муниципальных и городских округов</t>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21" sId="2" numFmtId="4">
    <oc r="K148">
      <f>1003490.87+299745.13</f>
    </oc>
    <nc r="K148">
      <v>0</v>
    </nc>
  </rcc>
  <rcc rId="10922" sId="2" numFmtId="4">
    <oc r="L148">
      <f>1577782.8+498247.2</f>
    </oc>
    <nc r="L148">
      <v>0</v>
    </nc>
  </rcc>
  <rcc rId="10923" sId="2">
    <oc r="H71">
      <f>H72+H73</f>
    </oc>
    <nc r="H71">
      <f>H72+H73</f>
    </nc>
  </rcc>
  <rcc rId="10924" sId="2" odxf="1" dxf="1">
    <oc r="I71">
      <f>I73</f>
    </oc>
    <nc r="I71">
      <f>I72+I73</f>
    </nc>
    <odxf>
      <fill>
        <patternFill patternType="solid">
          <bgColor theme="0"/>
        </patternFill>
      </fill>
    </odxf>
    <ndxf>
      <fill>
        <patternFill patternType="none">
          <bgColor indexed="65"/>
        </patternFill>
      </fill>
    </ndxf>
  </rcc>
  <rcc rId="10925" sId="2" odxf="1" dxf="1">
    <oc r="J71">
      <f>I71-G71</f>
    </oc>
    <nc r="J71">
      <f>J72+J73</f>
    </nc>
    <odxf>
      <fill>
        <patternFill patternType="solid">
          <bgColor theme="0"/>
        </patternFill>
      </fill>
      <alignment wrapText="0" readingOrder="0"/>
    </odxf>
    <ndxf>
      <fill>
        <patternFill patternType="none">
          <bgColor indexed="65"/>
        </patternFill>
      </fill>
      <alignment wrapText="1" readingOrder="0"/>
    </ndxf>
  </rcc>
  <rcc rId="10926" sId="2" odxf="1" dxf="1">
    <oc r="K71">
      <f>K73</f>
    </oc>
    <nc r="K71">
      <f>K72+K73</f>
    </nc>
    <odxf>
      <fill>
        <patternFill patternType="solid">
          <bgColor theme="0"/>
        </patternFill>
      </fill>
    </odxf>
    <ndxf>
      <fill>
        <patternFill patternType="none">
          <bgColor indexed="65"/>
        </patternFill>
      </fill>
    </ndxf>
  </rcc>
  <rcc rId="10927" sId="2" odxf="1" dxf="1">
    <oc r="L71">
      <f>L73</f>
    </oc>
    <nc r="L71">
      <f>L72+L73</f>
    </nc>
    <odxf>
      <fill>
        <patternFill patternType="solid">
          <bgColor theme="0"/>
        </patternFill>
      </fill>
    </odxf>
    <ndxf>
      <fill>
        <patternFill patternType="none">
          <bgColor indexed="65"/>
        </patternFill>
      </fill>
    </ndxf>
  </rcc>
  <rcc rId="10928" sId="2" odxf="1" dxf="1">
    <oc r="M71">
      <f>M73</f>
    </oc>
    <nc r="M71">
      <f>M72+M73</f>
    </nc>
    <odxf>
      <fill>
        <patternFill patternType="solid">
          <bgColor theme="0"/>
        </patternFill>
      </fill>
    </odxf>
    <ndxf>
      <fill>
        <patternFill patternType="none">
          <bgColor indexed="65"/>
        </patternFill>
      </fill>
    </ndxf>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29" sId="2" numFmtId="4">
    <oc r="K103">
      <v>127100</v>
    </oc>
    <nc r="K103"/>
  </rcc>
  <rcc rId="10930" sId="2" numFmtId="4">
    <oc r="L103">
      <v>230100</v>
    </oc>
    <nc r="L103"/>
  </rcc>
  <rcc rId="10931" sId="2" numFmtId="4">
    <oc r="M103">
      <v>230100</v>
    </oc>
    <nc r="M103"/>
  </rcc>
  <rcc rId="10932" sId="2" numFmtId="4">
    <oc r="K104">
      <v>127100</v>
    </oc>
    <nc r="K104"/>
  </rcc>
  <rcc rId="10933" sId="2" numFmtId="4">
    <oc r="L104">
      <v>230100</v>
    </oc>
    <nc r="L104"/>
  </rcc>
  <rcc rId="10934" sId="2" numFmtId="4">
    <oc r="M104">
      <v>230100</v>
    </oc>
    <nc r="M104"/>
  </rcc>
  <rcc rId="10935" sId="2" numFmtId="4">
    <oc r="K12">
      <v>200190000</v>
    </oc>
    <nc r="K12">
      <f>200190000+216000</f>
    </nc>
  </rcc>
  <rcc rId="10936" sId="2" numFmtId="4">
    <oc r="L12">
      <v>215711000</v>
    </oc>
    <nc r="L12">
      <f>215711000+201000</f>
    </nc>
  </rcc>
  <rcc rId="10937" sId="2" numFmtId="4">
    <oc r="M12">
      <v>231813000</v>
    </oc>
    <nc r="M12">
      <f>231813000+85000</f>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38" sId="2" numFmtId="4">
    <oc r="K24">
      <v>5193000</v>
    </oc>
    <nc r="K24">
      <f>5193000-24000</f>
    </nc>
  </rcc>
  <rcc rId="10939" sId="2">
    <oc r="L24">
      <v>6928000</v>
    </oc>
    <nc r="L24">
      <f>6928000-57000</f>
    </nc>
  </rcc>
  <rcc rId="10940" sId="2">
    <oc r="M24">
      <v>6936000</v>
    </oc>
    <nc r="M24">
      <f>6936000+7000</f>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41" sId="2" numFmtId="4">
    <oc r="K31">
      <v>30035000</v>
    </oc>
    <nc r="K31">
      <f>30035000+10000</f>
    </nc>
  </rcc>
  <rcc rId="10942" sId="2" numFmtId="4">
    <oc r="L31">
      <v>30636000</v>
    </oc>
    <nc r="L31">
      <f>30636000+90000</f>
    </nc>
  </rcc>
  <rcc rId="10943" sId="2" numFmtId="4">
    <oc r="M31">
      <v>31248000</v>
    </oc>
    <nc r="M31">
      <f>31248000+152000</f>
    </nc>
  </rcc>
  <rcc rId="10944" sId="2" odxf="1" dxf="1">
    <oc r="I40">
      <f>I42</f>
    </oc>
    <nc r="I40">
      <f>I41+I42</f>
    </nc>
    <odxf>
      <fill>
        <patternFill>
          <bgColor theme="0"/>
        </patternFill>
      </fill>
    </odxf>
    <ndxf>
      <fill>
        <patternFill>
          <bgColor rgb="FF92D050"/>
        </patternFill>
      </fill>
    </ndxf>
  </rcc>
  <rcc rId="10945" sId="2" odxf="1" dxf="1">
    <oc r="J40">
      <f>J42</f>
    </oc>
    <nc r="J40">
      <f>J41+J42</f>
    </nc>
    <odxf>
      <font>
        <b val="0"/>
        <sz val="10"/>
        <name val="Times New Roman"/>
        <scheme val="none"/>
      </font>
      <fill>
        <patternFill>
          <bgColor theme="0"/>
        </patternFill>
      </fill>
    </odxf>
    <ndxf>
      <font>
        <b/>
        <sz val="10"/>
        <name val="Times New Roman"/>
        <scheme val="none"/>
      </font>
      <fill>
        <patternFill>
          <bgColor rgb="FF92D050"/>
        </patternFill>
      </fill>
    </ndxf>
  </rcc>
  <rcc rId="10946" sId="2" odxf="1" dxf="1">
    <oc r="K40">
      <f>K42</f>
    </oc>
    <nc r="K40">
      <f>K41+K42</f>
    </nc>
    <odxf>
      <fill>
        <patternFill>
          <bgColor theme="0"/>
        </patternFill>
      </fill>
    </odxf>
    <ndxf>
      <fill>
        <patternFill>
          <bgColor rgb="FF92D050"/>
        </patternFill>
      </fill>
    </ndxf>
  </rcc>
  <rcc rId="10947" sId="2" odxf="1" dxf="1">
    <oc r="L40">
      <f>L42</f>
    </oc>
    <nc r="L40">
      <f>L41+L42</f>
    </nc>
    <odxf>
      <fill>
        <patternFill>
          <bgColor theme="0"/>
        </patternFill>
      </fill>
    </odxf>
    <ndxf>
      <fill>
        <patternFill>
          <bgColor rgb="FF92D050"/>
        </patternFill>
      </fill>
    </ndxf>
  </rcc>
  <rcc rId="10948" sId="2" odxf="1" dxf="1">
    <oc r="M40">
      <f>M42</f>
    </oc>
    <nc r="M40">
      <f>M41+M42</f>
    </nc>
    <odxf>
      <fill>
        <patternFill>
          <bgColor theme="0"/>
        </patternFill>
      </fill>
    </odxf>
    <ndxf>
      <fill>
        <patternFill>
          <bgColor rgb="FF92D050"/>
        </patternFill>
      </fill>
    </ndxf>
  </rcc>
  <rcc rId="10949" sId="2">
    <oc r="K41">
      <v>1489000</v>
    </oc>
    <nc r="K41">
      <f>1489000+1000</f>
    </nc>
  </rcc>
  <rcc rId="10950" sId="2" numFmtId="4">
    <oc r="L41">
      <v>1589000</v>
    </oc>
    <nc r="L41">
      <f>1589000+1000</f>
    </nc>
  </rcc>
  <rcc rId="10951" sId="2" numFmtId="4">
    <oc r="M41">
      <v>1683000</v>
    </oc>
    <nc r="M41">
      <f>1683000-3000</f>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C7EC5C3B-A1A6-47A2-9DB4-98B066F9CE04}" name="Светлана Курзина" id="-420518464" dateTime="2025-11-08T13:08:50"/>
</user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5"/>
  <sheetViews>
    <sheetView topLeftCell="C1" zoomScale="90" zoomScaleNormal="90" workbookViewId="0">
      <selection activeCell="K9" sqref="K9"/>
    </sheetView>
  </sheetViews>
  <sheetFormatPr defaultColWidth="9.140625" defaultRowHeight="12.75" x14ac:dyDescent="0.2"/>
  <cols>
    <col min="1" max="1" width="9.140625" style="1" hidden="1" customWidth="1"/>
    <col min="2" max="2" width="19.140625" style="1" hidden="1" customWidth="1"/>
    <col min="3" max="3" width="23.42578125" style="1" customWidth="1"/>
    <col min="4" max="4" width="35" style="1" customWidth="1"/>
    <col min="5" max="5" width="39.7109375" style="1" customWidth="1"/>
    <col min="6" max="6" width="9.140625" style="1" hidden="1" customWidth="1"/>
    <col min="7" max="7" width="13.7109375" style="1" customWidth="1"/>
    <col min="8" max="8" width="14.140625" style="1" customWidth="1"/>
    <col min="9" max="9" width="11.5703125" style="1" customWidth="1"/>
    <col min="10" max="10" width="14.42578125" style="1" customWidth="1"/>
    <col min="11" max="11" width="13.7109375" style="1" customWidth="1"/>
    <col min="12" max="12" width="12.28515625" style="1" customWidth="1"/>
    <col min="13" max="13" width="9.140625" style="1"/>
    <col min="14" max="14" width="11.140625" style="1" bestFit="1" customWidth="1"/>
    <col min="15" max="16384" width="9.140625" style="1"/>
  </cols>
  <sheetData>
    <row r="1" spans="1:14" x14ac:dyDescent="0.2">
      <c r="J1" s="137"/>
      <c r="K1" s="137"/>
      <c r="L1" s="137"/>
    </row>
    <row r="2" spans="1:14" ht="18.75" x14ac:dyDescent="0.3">
      <c r="C2" s="138" t="s">
        <v>357</v>
      </c>
      <c r="D2" s="138"/>
      <c r="E2" s="138"/>
      <c r="F2" s="138"/>
      <c r="G2" s="138"/>
      <c r="H2" s="138"/>
      <c r="I2" s="138"/>
      <c r="J2" s="138"/>
      <c r="K2" s="138"/>
      <c r="L2" s="138"/>
    </row>
    <row r="4" spans="1:14" ht="114.75" x14ac:dyDescent="0.2">
      <c r="A4" s="139" t="s">
        <v>0</v>
      </c>
      <c r="B4" s="140" t="s">
        <v>1</v>
      </c>
      <c r="C4" s="139" t="s">
        <v>2</v>
      </c>
      <c r="D4" s="139"/>
      <c r="E4" s="139" t="s">
        <v>3</v>
      </c>
      <c r="F4" s="42" t="s">
        <v>4</v>
      </c>
      <c r="G4" s="42" t="s">
        <v>229</v>
      </c>
      <c r="H4" s="42" t="s">
        <v>234</v>
      </c>
      <c r="I4" s="42" t="s">
        <v>230</v>
      </c>
      <c r="J4" s="139" t="s">
        <v>5</v>
      </c>
      <c r="K4" s="139"/>
      <c r="L4" s="139"/>
    </row>
    <row r="5" spans="1:14" ht="51.75" customHeight="1" x14ac:dyDescent="0.2">
      <c r="A5" s="139"/>
      <c r="B5" s="140"/>
      <c r="C5" s="42" t="s">
        <v>6</v>
      </c>
      <c r="D5" s="42" t="s">
        <v>7</v>
      </c>
      <c r="E5" s="139"/>
      <c r="F5" s="42"/>
      <c r="G5" s="42"/>
      <c r="H5" s="7"/>
      <c r="I5" s="7"/>
      <c r="J5" s="42" t="s">
        <v>231</v>
      </c>
      <c r="K5" s="42" t="s">
        <v>232</v>
      </c>
      <c r="L5" s="42" t="s">
        <v>233</v>
      </c>
    </row>
    <row r="6" spans="1:14" ht="13.15" x14ac:dyDescent="0.25">
      <c r="A6" s="2">
        <v>1</v>
      </c>
      <c r="B6" s="59">
        <v>2</v>
      </c>
      <c r="C6" s="42">
        <v>3</v>
      </c>
      <c r="D6" s="42">
        <v>4</v>
      </c>
      <c r="E6" s="42">
        <v>5</v>
      </c>
      <c r="F6" s="42">
        <v>6</v>
      </c>
      <c r="G6" s="42">
        <v>7</v>
      </c>
      <c r="H6" s="42">
        <v>8</v>
      </c>
      <c r="I6" s="42">
        <v>9</v>
      </c>
      <c r="J6" s="42">
        <v>10</v>
      </c>
      <c r="K6" s="42">
        <v>11</v>
      </c>
      <c r="L6" s="42">
        <v>12</v>
      </c>
    </row>
    <row r="7" spans="1:14" ht="25.5" x14ac:dyDescent="0.2">
      <c r="A7" s="8"/>
      <c r="B7" s="60"/>
      <c r="C7" s="9" t="s">
        <v>9</v>
      </c>
      <c r="D7" s="9" t="s">
        <v>8</v>
      </c>
      <c r="E7" s="8"/>
      <c r="F7" s="8">
        <v>100</v>
      </c>
      <c r="G7" s="22">
        <f>G8+G18+G28+G37+G45+G53+G77+G78+G96+G117+G130+G139+G171</f>
        <v>54596798.5</v>
      </c>
      <c r="H7" s="22">
        <f t="shared" ref="H7:L7" si="0">H8+H18+H28+H37+H45+H53+H77+H78+H96+H117+H130+H139+H171</f>
        <v>29131190.141689993</v>
      </c>
      <c r="I7" s="22">
        <f t="shared" si="0"/>
        <v>58174074.198031843</v>
      </c>
      <c r="J7" s="22">
        <f t="shared" si="0"/>
        <v>60340379.252323389</v>
      </c>
      <c r="K7" s="22">
        <f t="shared" si="0"/>
        <v>64239386.079239942</v>
      </c>
      <c r="L7" s="22">
        <f t="shared" si="0"/>
        <v>65423487.794651002</v>
      </c>
    </row>
    <row r="8" spans="1:14" ht="36.75" customHeight="1" x14ac:dyDescent="0.2">
      <c r="A8" s="2"/>
      <c r="B8" s="61"/>
      <c r="C8" s="9" t="s">
        <v>15</v>
      </c>
      <c r="D8" s="9" t="s">
        <v>10</v>
      </c>
      <c r="E8" s="21"/>
      <c r="F8" s="8"/>
      <c r="G8" s="22">
        <f>G9+G13</f>
        <v>32372240.5</v>
      </c>
      <c r="H8" s="22">
        <f t="shared" ref="H8:L8" si="1">H9+H13</f>
        <v>17716540.209770001</v>
      </c>
      <c r="I8" s="22">
        <f t="shared" si="1"/>
        <v>33441877.600000001</v>
      </c>
      <c r="J8" s="22">
        <f t="shared" si="1"/>
        <v>32802109.900000002</v>
      </c>
      <c r="K8" s="22">
        <f t="shared" si="1"/>
        <v>33410004.879114859</v>
      </c>
      <c r="L8" s="22">
        <f t="shared" si="1"/>
        <v>34088734.387580693</v>
      </c>
    </row>
    <row r="9" spans="1:14" ht="16.5" customHeight="1" x14ac:dyDescent="0.2">
      <c r="A9" s="2"/>
      <c r="B9" s="61"/>
      <c r="C9" s="9" t="s">
        <v>16</v>
      </c>
      <c r="D9" s="9" t="s">
        <v>11</v>
      </c>
      <c r="E9" s="21"/>
      <c r="F9" s="8"/>
      <c r="G9" s="22">
        <f>G10</f>
        <v>16191280</v>
      </c>
      <c r="H9" s="22">
        <f t="shared" ref="H9:L9" si="2">H10</f>
        <v>10147825.0551</v>
      </c>
      <c r="I9" s="22">
        <f t="shared" si="2"/>
        <v>17491280</v>
      </c>
      <c r="J9" s="22">
        <f t="shared" si="2"/>
        <v>16612253.300000001</v>
      </c>
      <c r="K9" s="22">
        <f t="shared" si="2"/>
        <v>16961110.600000001</v>
      </c>
      <c r="L9" s="22">
        <f t="shared" si="2"/>
        <v>17376657.800000001</v>
      </c>
      <c r="N9" s="36"/>
    </row>
    <row r="10" spans="1:14" ht="52.5" customHeight="1" x14ac:dyDescent="0.2">
      <c r="A10" s="2"/>
      <c r="B10" s="61"/>
      <c r="C10" s="3" t="s">
        <v>17</v>
      </c>
      <c r="D10" s="3" t="s">
        <v>12</v>
      </c>
      <c r="E10" s="20"/>
      <c r="F10" s="58"/>
      <c r="G10" s="23">
        <f>G11+G12</f>
        <v>16191280</v>
      </c>
      <c r="H10" s="23">
        <f t="shared" ref="H10:L10" si="3">H11+H12</f>
        <v>10147825.0551</v>
      </c>
      <c r="I10" s="23">
        <f>I11+I12</f>
        <v>17491280</v>
      </c>
      <c r="J10" s="23">
        <f t="shared" si="3"/>
        <v>16612253.300000001</v>
      </c>
      <c r="K10" s="23">
        <f t="shared" si="3"/>
        <v>16961110.600000001</v>
      </c>
      <c r="L10" s="23">
        <f t="shared" si="3"/>
        <v>17376657.800000001</v>
      </c>
      <c r="N10" s="36"/>
    </row>
    <row r="11" spans="1:14" ht="62.25" customHeight="1" x14ac:dyDescent="0.2">
      <c r="A11" s="4"/>
      <c r="B11" s="62"/>
      <c r="C11" s="10" t="s">
        <v>18</v>
      </c>
      <c r="D11" s="11" t="s">
        <v>13</v>
      </c>
      <c r="E11" s="20" t="s">
        <v>228</v>
      </c>
      <c r="F11" s="6"/>
      <c r="G11" s="23">
        <v>8714768</v>
      </c>
      <c r="H11" s="24">
        <v>4100970.9920999999</v>
      </c>
      <c r="I11" s="24">
        <v>8714768</v>
      </c>
      <c r="J11" s="24">
        <v>8941352</v>
      </c>
      <c r="K11" s="24">
        <v>9129120.4000000004</v>
      </c>
      <c r="L11" s="24">
        <v>9352783.8000000007</v>
      </c>
    </row>
    <row r="12" spans="1:14" ht="61.5" customHeight="1" x14ac:dyDescent="0.2">
      <c r="A12" s="4"/>
      <c r="B12" s="62"/>
      <c r="C12" s="10" t="s">
        <v>19</v>
      </c>
      <c r="D12" s="11" t="s">
        <v>14</v>
      </c>
      <c r="E12" s="20" t="s">
        <v>228</v>
      </c>
      <c r="F12" s="6"/>
      <c r="G12" s="23">
        <v>7476512</v>
      </c>
      <c r="H12" s="24">
        <v>6046854.0630000001</v>
      </c>
      <c r="I12" s="24">
        <v>8776512</v>
      </c>
      <c r="J12" s="24">
        <v>7670901.2999999998</v>
      </c>
      <c r="K12" s="24">
        <v>7831990.2000000002</v>
      </c>
      <c r="L12" s="24">
        <v>8023874</v>
      </c>
    </row>
    <row r="13" spans="1:14" ht="25.5" x14ac:dyDescent="0.2">
      <c r="C13" s="12" t="s">
        <v>21</v>
      </c>
      <c r="D13" s="13" t="s">
        <v>20</v>
      </c>
      <c r="E13" s="21"/>
      <c r="F13" s="26"/>
      <c r="G13" s="25">
        <f>G14+G15+G16+G17</f>
        <v>16180960.5</v>
      </c>
      <c r="H13" s="25">
        <f t="shared" ref="H13:L13" si="4">H14+H15+H16+H17</f>
        <v>7568715.1546700001</v>
      </c>
      <c r="I13" s="25">
        <f t="shared" si="4"/>
        <v>15950597.6</v>
      </c>
      <c r="J13" s="25">
        <f t="shared" si="4"/>
        <v>16189856.600000001</v>
      </c>
      <c r="K13" s="25">
        <f t="shared" si="4"/>
        <v>16448894.279114859</v>
      </c>
      <c r="L13" s="25">
        <f t="shared" si="4"/>
        <v>16712076.587580696</v>
      </c>
    </row>
    <row r="14" spans="1:14" ht="92.25" customHeight="1" x14ac:dyDescent="0.2">
      <c r="C14" s="14" t="s">
        <v>23</v>
      </c>
      <c r="D14" s="15" t="s">
        <v>22</v>
      </c>
      <c r="E14" s="20" t="s">
        <v>228</v>
      </c>
      <c r="F14" s="6"/>
      <c r="G14" s="23">
        <v>15933337.199999999</v>
      </c>
      <c r="H14" s="24">
        <v>7475281.7999999998</v>
      </c>
      <c r="I14" s="24">
        <v>15670871.699999999</v>
      </c>
      <c r="J14" s="24">
        <v>15905934.800000001</v>
      </c>
      <c r="K14" s="24">
        <v>16160429.710228296</v>
      </c>
      <c r="L14" s="24">
        <v>16418996.585591948</v>
      </c>
    </row>
    <row r="15" spans="1:14" ht="147" customHeight="1" x14ac:dyDescent="0.2">
      <c r="C15" s="14" t="s">
        <v>25</v>
      </c>
      <c r="D15" s="15" t="s">
        <v>24</v>
      </c>
      <c r="E15" s="20" t="s">
        <v>228</v>
      </c>
      <c r="F15" s="6"/>
      <c r="G15" s="23">
        <v>79860.399999999994</v>
      </c>
      <c r="H15" s="24">
        <v>30414.400000000001</v>
      </c>
      <c r="I15" s="24">
        <v>128780.9</v>
      </c>
      <c r="J15" s="24">
        <v>130712.6</v>
      </c>
      <c r="K15" s="24">
        <v>132804.03143876715</v>
      </c>
      <c r="L15" s="24">
        <v>134928.89594178743</v>
      </c>
    </row>
    <row r="16" spans="1:14" ht="63" customHeight="1" x14ac:dyDescent="0.2">
      <c r="C16" s="14" t="s">
        <v>27</v>
      </c>
      <c r="D16" s="16" t="s">
        <v>26</v>
      </c>
      <c r="E16" s="20" t="s">
        <v>228</v>
      </c>
      <c r="F16" s="6"/>
      <c r="G16" s="23">
        <v>96837.9</v>
      </c>
      <c r="H16" s="24">
        <v>33046.968000000001</v>
      </c>
      <c r="I16" s="24">
        <v>84749.6</v>
      </c>
      <c r="J16" s="24">
        <v>86020.800000000003</v>
      </c>
      <c r="K16" s="24">
        <v>87397.152287558114</v>
      </c>
      <c r="L16" s="24">
        <v>88795.506724159044</v>
      </c>
    </row>
    <row r="17" spans="3:12" ht="123.75" customHeight="1" x14ac:dyDescent="0.2">
      <c r="C17" s="14" t="s">
        <v>29</v>
      </c>
      <c r="D17" s="15" t="s">
        <v>28</v>
      </c>
      <c r="E17" s="20" t="s">
        <v>228</v>
      </c>
      <c r="F17" s="6"/>
      <c r="G17" s="23">
        <v>70925</v>
      </c>
      <c r="H17" s="24">
        <v>29971.986669999998</v>
      </c>
      <c r="I17" s="24">
        <v>66195.399999999994</v>
      </c>
      <c r="J17" s="24">
        <v>67188.399999999994</v>
      </c>
      <c r="K17" s="24">
        <v>68263.385160238264</v>
      </c>
      <c r="L17" s="24">
        <v>69355.599322802067</v>
      </c>
    </row>
    <row r="18" spans="3:12" ht="34.5" customHeight="1" x14ac:dyDescent="0.2">
      <c r="C18" s="12" t="s">
        <v>31</v>
      </c>
      <c r="D18" s="13" t="s">
        <v>30</v>
      </c>
      <c r="E18" s="26"/>
      <c r="F18" s="26"/>
      <c r="G18" s="25">
        <f>G19</f>
        <v>2927762.2</v>
      </c>
      <c r="H18" s="25">
        <f t="shared" ref="H18:L18" si="5">H19</f>
        <v>1579344.5437400001</v>
      </c>
      <c r="I18" s="25">
        <f t="shared" si="5"/>
        <v>2809303.2</v>
      </c>
      <c r="J18" s="25">
        <f t="shared" si="5"/>
        <v>2819576.3</v>
      </c>
      <c r="K18" s="25">
        <f t="shared" si="5"/>
        <v>2938809.0000000005</v>
      </c>
      <c r="L18" s="25">
        <f t="shared" si="5"/>
        <v>2991094.7040000004</v>
      </c>
    </row>
    <row r="19" spans="3:12" ht="50.25" customHeight="1" x14ac:dyDescent="0.2">
      <c r="C19" s="14" t="s">
        <v>33</v>
      </c>
      <c r="D19" s="16" t="s">
        <v>32</v>
      </c>
      <c r="E19" s="5"/>
      <c r="F19" s="6"/>
      <c r="G19" s="24">
        <f>G20+G21+G22+G23+G24+G25+G26+G27</f>
        <v>2927762.2</v>
      </c>
      <c r="H19" s="24">
        <f t="shared" ref="H19:L19" si="6">H20+H21+H22+H23+H24+H25+H26+H27</f>
        <v>1579344.5437400001</v>
      </c>
      <c r="I19" s="24">
        <f t="shared" si="6"/>
        <v>2809303.2</v>
      </c>
      <c r="J19" s="24">
        <f t="shared" si="6"/>
        <v>2819576.3</v>
      </c>
      <c r="K19" s="24">
        <f t="shared" si="6"/>
        <v>2938809.0000000005</v>
      </c>
      <c r="L19" s="24">
        <f t="shared" si="6"/>
        <v>2991094.7040000004</v>
      </c>
    </row>
    <row r="20" spans="3:12" ht="45" customHeight="1" x14ac:dyDescent="0.2">
      <c r="C20" s="17" t="s">
        <v>35</v>
      </c>
      <c r="D20" s="18" t="s">
        <v>34</v>
      </c>
      <c r="E20" s="43" t="s">
        <v>228</v>
      </c>
      <c r="F20" s="28"/>
      <c r="G20" s="29">
        <v>310738.7</v>
      </c>
      <c r="H20" s="29">
        <v>159538.38123999999</v>
      </c>
      <c r="I20" s="29">
        <v>315773</v>
      </c>
      <c r="J20" s="29">
        <v>318005</v>
      </c>
      <c r="K20" s="29">
        <v>320231</v>
      </c>
      <c r="L20" s="29">
        <v>342012</v>
      </c>
    </row>
    <row r="21" spans="3:12" ht="171" customHeight="1" x14ac:dyDescent="0.2">
      <c r="C21" s="17" t="s">
        <v>37</v>
      </c>
      <c r="D21" s="18" t="s">
        <v>36</v>
      </c>
      <c r="E21" s="31" t="s">
        <v>237</v>
      </c>
      <c r="F21" s="28"/>
      <c r="G21" s="29">
        <v>734408.6</v>
      </c>
      <c r="H21" s="29">
        <v>361160</v>
      </c>
      <c r="I21" s="29">
        <v>610094.1</v>
      </c>
      <c r="J21" s="29">
        <v>610094.1</v>
      </c>
      <c r="K21" s="29">
        <v>610094.1</v>
      </c>
      <c r="L21" s="29">
        <v>634497.86399999994</v>
      </c>
    </row>
    <row r="22" spans="3:12" ht="171" customHeight="1" x14ac:dyDescent="0.2">
      <c r="C22" s="17" t="s">
        <v>236</v>
      </c>
      <c r="D22" s="19" t="s">
        <v>235</v>
      </c>
      <c r="E22" s="31" t="s">
        <v>237</v>
      </c>
      <c r="F22" s="28"/>
      <c r="G22" s="29">
        <v>100000</v>
      </c>
      <c r="H22" s="29">
        <v>106180.63623</v>
      </c>
      <c r="I22" s="29">
        <v>152523.5</v>
      </c>
      <c r="J22" s="29">
        <v>152523.5</v>
      </c>
      <c r="K22" s="29">
        <v>152523.5</v>
      </c>
      <c r="L22" s="29">
        <v>158624.44</v>
      </c>
    </row>
    <row r="23" spans="3:12" ht="86.25" customHeight="1" x14ac:dyDescent="0.2">
      <c r="C23" s="17" t="s">
        <v>39</v>
      </c>
      <c r="D23" s="18" t="s">
        <v>38</v>
      </c>
      <c r="E23" s="31" t="s">
        <v>237</v>
      </c>
      <c r="F23" s="28"/>
      <c r="G23" s="29">
        <v>590066</v>
      </c>
      <c r="H23" s="29">
        <v>343808.99806000001</v>
      </c>
      <c r="I23" s="29">
        <v>685879.1</v>
      </c>
      <c r="J23" s="29">
        <v>766750.7</v>
      </c>
      <c r="K23" s="29">
        <v>836332.9</v>
      </c>
      <c r="L23" s="29">
        <v>836332.9</v>
      </c>
    </row>
    <row r="24" spans="3:12" ht="110.25" customHeight="1" x14ac:dyDescent="0.2">
      <c r="C24" s="17" t="s">
        <v>41</v>
      </c>
      <c r="D24" s="19" t="s">
        <v>40</v>
      </c>
      <c r="E24" s="31" t="s">
        <v>237</v>
      </c>
      <c r="F24" s="28"/>
      <c r="G24" s="29">
        <v>5877.5</v>
      </c>
      <c r="H24" s="29">
        <v>3736.7368499999998</v>
      </c>
      <c r="I24" s="29">
        <v>7139.9</v>
      </c>
      <c r="J24" s="29">
        <v>6642.3</v>
      </c>
      <c r="K24" s="29">
        <v>6966.3</v>
      </c>
      <c r="L24" s="29">
        <v>6966.3</v>
      </c>
    </row>
    <row r="25" spans="3:12" ht="102" x14ac:dyDescent="0.2">
      <c r="C25" s="17" t="s">
        <v>43</v>
      </c>
      <c r="D25" s="18" t="s">
        <v>42</v>
      </c>
      <c r="E25" s="31" t="s">
        <v>237</v>
      </c>
      <c r="F25" s="28"/>
      <c r="G25" s="29">
        <v>1249985.7</v>
      </c>
      <c r="H25" s="29">
        <v>592779.99708</v>
      </c>
      <c r="I25" s="29">
        <v>1135894</v>
      </c>
      <c r="J25" s="29">
        <v>1056731.2</v>
      </c>
      <c r="K25" s="29">
        <v>1108279.1000000001</v>
      </c>
      <c r="L25" s="29">
        <v>1108279.1000000001</v>
      </c>
    </row>
    <row r="26" spans="3:12" ht="102" x14ac:dyDescent="0.2">
      <c r="C26" s="17" t="s">
        <v>45</v>
      </c>
      <c r="D26" s="18" t="s">
        <v>44</v>
      </c>
      <c r="E26" s="31" t="s">
        <v>237</v>
      </c>
      <c r="F26" s="28"/>
      <c r="G26" s="29">
        <v>-118021.4</v>
      </c>
      <c r="H26" s="29">
        <v>-69736.16072</v>
      </c>
      <c r="I26" s="29">
        <v>-98000.4</v>
      </c>
      <c r="J26" s="29">
        <v>-91170.5</v>
      </c>
      <c r="K26" s="29">
        <v>-95617.9</v>
      </c>
      <c r="L26" s="29">
        <v>-95617.9</v>
      </c>
    </row>
    <row r="27" spans="3:12" ht="38.25" x14ac:dyDescent="0.2">
      <c r="C27" s="17" t="s">
        <v>47</v>
      </c>
      <c r="D27" s="18" t="s">
        <v>46</v>
      </c>
      <c r="E27" s="27" t="s">
        <v>228</v>
      </c>
      <c r="F27" s="28"/>
      <c r="G27" s="29">
        <v>54707.1</v>
      </c>
      <c r="H27" s="29">
        <v>81875.955000000002</v>
      </c>
      <c r="I27" s="29">
        <v>0</v>
      </c>
      <c r="J27" s="29">
        <v>0</v>
      </c>
      <c r="K27" s="29">
        <v>0</v>
      </c>
      <c r="L27" s="29">
        <v>0</v>
      </c>
    </row>
    <row r="28" spans="3:12" ht="25.5" x14ac:dyDescent="0.2">
      <c r="C28" s="12" t="s">
        <v>49</v>
      </c>
      <c r="D28" s="13" t="s">
        <v>48</v>
      </c>
      <c r="E28" s="30" t="s">
        <v>228</v>
      </c>
      <c r="F28" s="26"/>
      <c r="G28" s="25">
        <f>G29+G35</f>
        <v>936765.6</v>
      </c>
      <c r="H28" s="25">
        <f>H29+H35</f>
        <v>538480.36875000002</v>
      </c>
      <c r="I28" s="25">
        <f t="shared" ref="I28:L28" si="7">I29+I35</f>
        <v>937351.9</v>
      </c>
      <c r="J28" s="25">
        <f t="shared" si="7"/>
        <v>952563.8</v>
      </c>
      <c r="K28" s="25">
        <f t="shared" si="7"/>
        <v>965002.1</v>
      </c>
      <c r="L28" s="25">
        <f t="shared" si="7"/>
        <v>977440.39999999991</v>
      </c>
    </row>
    <row r="29" spans="3:12" ht="38.25" x14ac:dyDescent="0.2">
      <c r="C29" s="14" t="s">
        <v>238</v>
      </c>
      <c r="D29" s="16" t="s">
        <v>50</v>
      </c>
      <c r="E29" s="5" t="s">
        <v>228</v>
      </c>
      <c r="F29" s="6"/>
      <c r="G29" s="24">
        <f>G30+G32+G34</f>
        <v>936765.6</v>
      </c>
      <c r="H29" s="24">
        <f>H30+H32+H34</f>
        <v>538479.96441999997</v>
      </c>
      <c r="I29" s="24">
        <f t="shared" ref="I29:L29" si="8">I30+I32+I34</f>
        <v>937351.9</v>
      </c>
      <c r="J29" s="24">
        <f t="shared" si="8"/>
        <v>952563.8</v>
      </c>
      <c r="K29" s="24">
        <f t="shared" si="8"/>
        <v>965002.1</v>
      </c>
      <c r="L29" s="24">
        <f t="shared" si="8"/>
        <v>977440.39999999991</v>
      </c>
    </row>
    <row r="30" spans="3:12" ht="51" x14ac:dyDescent="0.2">
      <c r="C30" s="17" t="s">
        <v>239</v>
      </c>
      <c r="D30" s="18" t="s">
        <v>51</v>
      </c>
      <c r="E30" s="41" t="s">
        <v>228</v>
      </c>
      <c r="F30" s="6"/>
      <c r="G30" s="24">
        <f>G31</f>
        <v>646676</v>
      </c>
      <c r="H30" s="24">
        <f t="shared" ref="H30:L30" si="9">H31</f>
        <v>370854.55595000001</v>
      </c>
      <c r="I30" s="24">
        <f t="shared" si="9"/>
        <v>692488.4</v>
      </c>
      <c r="J30" s="24">
        <f t="shared" si="9"/>
        <v>703726.5</v>
      </c>
      <c r="K30" s="24">
        <f t="shared" si="9"/>
        <v>712915.6</v>
      </c>
      <c r="L30" s="24">
        <f t="shared" si="9"/>
        <v>722104.6</v>
      </c>
    </row>
    <row r="31" spans="3:12" ht="51" x14ac:dyDescent="0.2">
      <c r="C31" s="14" t="s">
        <v>52</v>
      </c>
      <c r="D31" s="16" t="s">
        <v>51</v>
      </c>
      <c r="E31" s="41" t="s">
        <v>228</v>
      </c>
      <c r="F31" s="6"/>
      <c r="G31" s="24">
        <v>646676</v>
      </c>
      <c r="H31" s="24">
        <v>370854.55595000001</v>
      </c>
      <c r="I31" s="24">
        <v>692488.4</v>
      </c>
      <c r="J31" s="24">
        <v>703726.5</v>
      </c>
      <c r="K31" s="24">
        <v>712915.6</v>
      </c>
      <c r="L31" s="24">
        <v>722104.6</v>
      </c>
    </row>
    <row r="32" spans="3:12" ht="63.75" x14ac:dyDescent="0.2">
      <c r="C32" s="17" t="s">
        <v>240</v>
      </c>
      <c r="D32" s="18" t="s">
        <v>53</v>
      </c>
      <c r="E32" s="41" t="s">
        <v>228</v>
      </c>
      <c r="F32" s="6"/>
      <c r="G32" s="24">
        <f>G33</f>
        <v>185610</v>
      </c>
      <c r="H32" s="24">
        <f t="shared" ref="H32:L32" si="10">H33</f>
        <v>173736.42592000001</v>
      </c>
      <c r="I32" s="24">
        <f t="shared" si="10"/>
        <v>244863.5</v>
      </c>
      <c r="J32" s="24">
        <f t="shared" si="10"/>
        <v>248837.3</v>
      </c>
      <c r="K32" s="24">
        <f t="shared" si="10"/>
        <v>252086.5</v>
      </c>
      <c r="L32" s="24">
        <f t="shared" si="10"/>
        <v>255335.8</v>
      </c>
    </row>
    <row r="33" spans="3:12" ht="63.75" x14ac:dyDescent="0.2">
      <c r="C33" s="14" t="s">
        <v>54</v>
      </c>
      <c r="D33" s="16" t="s">
        <v>53</v>
      </c>
      <c r="E33" s="41" t="s">
        <v>228</v>
      </c>
      <c r="F33" s="6"/>
      <c r="G33" s="24">
        <v>185610</v>
      </c>
      <c r="H33" s="24">
        <v>173736.42592000001</v>
      </c>
      <c r="I33" s="24">
        <v>244863.5</v>
      </c>
      <c r="J33" s="24">
        <v>248837.3</v>
      </c>
      <c r="K33" s="24">
        <v>252086.5</v>
      </c>
      <c r="L33" s="24">
        <v>255335.8</v>
      </c>
    </row>
    <row r="34" spans="3:12" ht="38.25" x14ac:dyDescent="0.2">
      <c r="C34" s="17" t="s">
        <v>56</v>
      </c>
      <c r="D34" s="18" t="s">
        <v>55</v>
      </c>
      <c r="E34" s="43" t="s">
        <v>228</v>
      </c>
      <c r="F34" s="28"/>
      <c r="G34" s="29">
        <v>104479.6</v>
      </c>
      <c r="H34" s="29">
        <v>-6111.0174500000003</v>
      </c>
      <c r="I34" s="29">
        <v>0</v>
      </c>
      <c r="J34" s="29">
        <v>0</v>
      </c>
      <c r="K34" s="29">
        <v>0</v>
      </c>
      <c r="L34" s="29">
        <v>0</v>
      </c>
    </row>
    <row r="35" spans="3:12" ht="25.5" x14ac:dyDescent="0.2">
      <c r="C35" s="17" t="s">
        <v>278</v>
      </c>
      <c r="D35" s="18" t="s">
        <v>279</v>
      </c>
      <c r="E35" s="43"/>
      <c r="F35" s="28"/>
      <c r="G35" s="29">
        <f>G36</f>
        <v>0</v>
      </c>
      <c r="H35" s="29">
        <f t="shared" ref="H35:L35" si="11">H36</f>
        <v>0.40433000000000002</v>
      </c>
      <c r="I35" s="29">
        <f t="shared" si="11"/>
        <v>0</v>
      </c>
      <c r="J35" s="29">
        <f t="shared" si="11"/>
        <v>0</v>
      </c>
      <c r="K35" s="29">
        <f t="shared" si="11"/>
        <v>0</v>
      </c>
      <c r="L35" s="29">
        <f t="shared" si="11"/>
        <v>0</v>
      </c>
    </row>
    <row r="36" spans="3:12" ht="38.25" x14ac:dyDescent="0.2">
      <c r="C36" s="14" t="s">
        <v>281</v>
      </c>
      <c r="D36" s="16" t="s">
        <v>280</v>
      </c>
      <c r="E36" s="41" t="s">
        <v>228</v>
      </c>
      <c r="F36" s="6"/>
      <c r="G36" s="24">
        <v>0</v>
      </c>
      <c r="H36" s="24">
        <v>0.40433000000000002</v>
      </c>
      <c r="I36" s="24">
        <v>0</v>
      </c>
      <c r="J36" s="24">
        <v>0</v>
      </c>
      <c r="K36" s="24">
        <v>0</v>
      </c>
      <c r="L36" s="24">
        <v>0</v>
      </c>
    </row>
    <row r="37" spans="3:12" ht="25.5" x14ac:dyDescent="0.2">
      <c r="C37" s="12" t="s">
        <v>58</v>
      </c>
      <c r="D37" s="13" t="s">
        <v>57</v>
      </c>
      <c r="E37" s="30" t="s">
        <v>228</v>
      </c>
      <c r="F37" s="26"/>
      <c r="G37" s="25">
        <f>G38+G41+G44</f>
        <v>16536900.199999999</v>
      </c>
      <c r="H37" s="25">
        <f t="shared" ref="H37:L37" si="12">H38+H41+H44</f>
        <v>8436103.9518100005</v>
      </c>
      <c r="I37" s="25">
        <f t="shared" si="12"/>
        <v>19225830.5</v>
      </c>
      <c r="J37" s="25">
        <f t="shared" si="12"/>
        <v>21919633.399999999</v>
      </c>
      <c r="K37" s="25">
        <f t="shared" si="12"/>
        <v>24921505.5</v>
      </c>
      <c r="L37" s="25">
        <f t="shared" si="12"/>
        <v>25292482.899999999</v>
      </c>
    </row>
    <row r="38" spans="3:12" ht="25.5" x14ac:dyDescent="0.2">
      <c r="C38" s="17" t="s">
        <v>60</v>
      </c>
      <c r="D38" s="18" t="s">
        <v>59</v>
      </c>
      <c r="E38" s="27" t="s">
        <v>228</v>
      </c>
      <c r="F38" s="28"/>
      <c r="G38" s="29">
        <f>G39+G40</f>
        <v>15384014.5</v>
      </c>
      <c r="H38" s="29">
        <f t="shared" ref="H38:L38" si="13">H39+H40</f>
        <v>8149854.4524099994</v>
      </c>
      <c r="I38" s="29">
        <f t="shared" si="13"/>
        <v>18133441.5</v>
      </c>
      <c r="J38" s="29">
        <f t="shared" si="13"/>
        <v>20743705.399999999</v>
      </c>
      <c r="K38" s="29">
        <f t="shared" si="13"/>
        <v>23670716.5</v>
      </c>
      <c r="L38" s="29">
        <f t="shared" si="13"/>
        <v>24004208.899999999</v>
      </c>
    </row>
    <row r="39" spans="3:12" ht="38.25" x14ac:dyDescent="0.2">
      <c r="C39" s="14" t="s">
        <v>62</v>
      </c>
      <c r="D39" s="16" t="s">
        <v>61</v>
      </c>
      <c r="E39" s="5" t="s">
        <v>228</v>
      </c>
      <c r="F39" s="6"/>
      <c r="G39" s="24">
        <v>6488858.7000000002</v>
      </c>
      <c r="H39" s="24">
        <v>2756768.58085</v>
      </c>
      <c r="I39" s="24">
        <v>5340353.0999999996</v>
      </c>
      <c r="J39" s="24">
        <v>6739412.9000000004</v>
      </c>
      <c r="K39" s="24">
        <v>7455220</v>
      </c>
      <c r="L39" s="24">
        <v>7788712.2999999998</v>
      </c>
    </row>
    <row r="40" spans="3:12" ht="38.25" x14ac:dyDescent="0.2">
      <c r="C40" s="14" t="s">
        <v>64</v>
      </c>
      <c r="D40" s="16" t="s">
        <v>63</v>
      </c>
      <c r="E40" s="5" t="s">
        <v>228</v>
      </c>
      <c r="F40" s="6"/>
      <c r="G40" s="24">
        <v>8895155.8000000007</v>
      </c>
      <c r="H40" s="24">
        <v>5393085.8715599999</v>
      </c>
      <c r="I40" s="24">
        <v>12793088.4</v>
      </c>
      <c r="J40" s="24">
        <v>14004292.5</v>
      </c>
      <c r="K40" s="24">
        <v>16215496.5</v>
      </c>
      <c r="L40" s="24">
        <v>16215496.6</v>
      </c>
    </row>
    <row r="41" spans="3:12" ht="25.5" x14ac:dyDescent="0.2">
      <c r="C41" s="17" t="s">
        <v>66</v>
      </c>
      <c r="D41" s="18" t="s">
        <v>65</v>
      </c>
      <c r="E41" s="27" t="s">
        <v>228</v>
      </c>
      <c r="F41" s="28"/>
      <c r="G41" s="29">
        <f>G42+G43</f>
        <v>1151625.7</v>
      </c>
      <c r="H41" s="29">
        <f t="shared" ref="H41:L41" si="14">H42+H43</f>
        <v>285629.99362000002</v>
      </c>
      <c r="I41" s="29">
        <f t="shared" si="14"/>
        <v>1091093</v>
      </c>
      <c r="J41" s="29">
        <f t="shared" si="14"/>
        <v>1174628</v>
      </c>
      <c r="K41" s="29">
        <f t="shared" si="14"/>
        <v>1249489</v>
      </c>
      <c r="L41" s="29">
        <f t="shared" si="14"/>
        <v>1286974</v>
      </c>
    </row>
    <row r="42" spans="3:12" ht="25.5" x14ac:dyDescent="0.2">
      <c r="C42" s="14" t="s">
        <v>68</v>
      </c>
      <c r="D42" s="16" t="s">
        <v>67</v>
      </c>
      <c r="E42" s="5" t="s">
        <v>228</v>
      </c>
      <c r="F42" s="6"/>
      <c r="G42" s="24">
        <v>339925.7</v>
      </c>
      <c r="H42" s="24">
        <v>181705.26391000001</v>
      </c>
      <c r="I42" s="24">
        <v>300788</v>
      </c>
      <c r="J42" s="24">
        <v>314323</v>
      </c>
      <c r="K42" s="24">
        <v>326896</v>
      </c>
      <c r="L42" s="24">
        <v>336703</v>
      </c>
    </row>
    <row r="43" spans="3:12" ht="25.5" x14ac:dyDescent="0.2">
      <c r="C43" s="14" t="s">
        <v>70</v>
      </c>
      <c r="D43" s="16" t="s">
        <v>69</v>
      </c>
      <c r="E43" s="5" t="s">
        <v>228</v>
      </c>
      <c r="F43" s="6"/>
      <c r="G43" s="24">
        <v>811700</v>
      </c>
      <c r="H43" s="24">
        <v>103924.72971</v>
      </c>
      <c r="I43" s="24">
        <v>790305</v>
      </c>
      <c r="J43" s="24">
        <v>860305</v>
      </c>
      <c r="K43" s="24">
        <v>922593</v>
      </c>
      <c r="L43" s="24">
        <v>950271</v>
      </c>
    </row>
    <row r="44" spans="3:12" ht="25.5" x14ac:dyDescent="0.2">
      <c r="C44" s="17" t="s">
        <v>72</v>
      </c>
      <c r="D44" s="18" t="s">
        <v>71</v>
      </c>
      <c r="E44" s="27" t="s">
        <v>228</v>
      </c>
      <c r="F44" s="28"/>
      <c r="G44" s="29">
        <v>1260</v>
      </c>
      <c r="H44" s="29">
        <v>619.50577999999996</v>
      </c>
      <c r="I44" s="29">
        <v>1296</v>
      </c>
      <c r="J44" s="29">
        <v>1300</v>
      </c>
      <c r="K44" s="29">
        <v>1300</v>
      </c>
      <c r="L44" s="29">
        <v>1300</v>
      </c>
    </row>
    <row r="45" spans="3:12" ht="25.5" x14ac:dyDescent="0.2">
      <c r="C45" s="12" t="s">
        <v>74</v>
      </c>
      <c r="D45" s="13" t="s">
        <v>73</v>
      </c>
      <c r="E45" s="30" t="s">
        <v>228</v>
      </c>
      <c r="F45" s="26"/>
      <c r="G45" s="25">
        <f>G46+G50</f>
        <v>311135.90000000002</v>
      </c>
      <c r="H45" s="25">
        <f t="shared" ref="H45:L45" si="15">H46+H50</f>
        <v>212300.40164</v>
      </c>
      <c r="I45" s="25">
        <f t="shared" si="15"/>
        <v>390432</v>
      </c>
      <c r="J45" s="25">
        <f t="shared" si="15"/>
        <v>409936</v>
      </c>
      <c r="K45" s="25">
        <f t="shared" si="15"/>
        <v>430482</v>
      </c>
      <c r="L45" s="25">
        <f t="shared" si="15"/>
        <v>430487</v>
      </c>
    </row>
    <row r="46" spans="3:12" ht="25.5" x14ac:dyDescent="0.2">
      <c r="C46" s="17" t="s">
        <v>76</v>
      </c>
      <c r="D46" s="18" t="s">
        <v>75</v>
      </c>
      <c r="E46" s="5" t="s">
        <v>228</v>
      </c>
      <c r="F46" s="6"/>
      <c r="G46" s="24">
        <f>G47+G48+G49</f>
        <v>308395.90000000002</v>
      </c>
      <c r="H46" s="24">
        <f t="shared" ref="H46:L46" si="16">H47+H48+H49</f>
        <v>212042.43486000001</v>
      </c>
      <c r="I46" s="24">
        <f t="shared" si="16"/>
        <v>386606</v>
      </c>
      <c r="J46" s="24">
        <f t="shared" si="16"/>
        <v>406106</v>
      </c>
      <c r="K46" s="24">
        <f t="shared" si="16"/>
        <v>426647</v>
      </c>
      <c r="L46" s="24">
        <f t="shared" si="16"/>
        <v>426647</v>
      </c>
    </row>
    <row r="47" spans="3:12" ht="38.25" x14ac:dyDescent="0.2">
      <c r="C47" s="14" t="s">
        <v>78</v>
      </c>
      <c r="D47" s="16" t="s">
        <v>77</v>
      </c>
      <c r="E47" s="5" t="s">
        <v>228</v>
      </c>
      <c r="F47" s="6"/>
      <c r="G47" s="24">
        <v>73495.8</v>
      </c>
      <c r="H47" s="24">
        <v>38766.251049999999</v>
      </c>
      <c r="I47" s="24">
        <v>65435</v>
      </c>
      <c r="J47" s="24">
        <v>67500</v>
      </c>
      <c r="K47" s="24">
        <v>67500</v>
      </c>
      <c r="L47" s="24">
        <v>67500</v>
      </c>
    </row>
    <row r="48" spans="3:12" ht="38.25" x14ac:dyDescent="0.2">
      <c r="C48" s="14" t="s">
        <v>80</v>
      </c>
      <c r="D48" s="16" t="s">
        <v>79</v>
      </c>
      <c r="E48" s="5" t="s">
        <v>228</v>
      </c>
      <c r="F48" s="6"/>
      <c r="G48" s="24">
        <v>64184.800000000003</v>
      </c>
      <c r="H48" s="24">
        <v>60801.877200000003</v>
      </c>
      <c r="I48" s="24">
        <v>94841</v>
      </c>
      <c r="J48" s="24">
        <v>95100</v>
      </c>
      <c r="K48" s="24">
        <v>95100</v>
      </c>
      <c r="L48" s="24">
        <v>95100</v>
      </c>
    </row>
    <row r="49" spans="3:15" ht="25.5" x14ac:dyDescent="0.2">
      <c r="C49" s="14" t="s">
        <v>242</v>
      </c>
      <c r="D49" s="16" t="s">
        <v>241</v>
      </c>
      <c r="E49" s="5" t="s">
        <v>228</v>
      </c>
      <c r="F49" s="6"/>
      <c r="G49" s="24">
        <v>170715.3</v>
      </c>
      <c r="H49" s="24">
        <v>112474.30661</v>
      </c>
      <c r="I49" s="24">
        <v>226330</v>
      </c>
      <c r="J49" s="24">
        <v>243506</v>
      </c>
      <c r="K49" s="24">
        <v>264047</v>
      </c>
      <c r="L49" s="24">
        <v>264047</v>
      </c>
    </row>
    <row r="50" spans="3:15" ht="51" x14ac:dyDescent="0.2">
      <c r="C50" s="17" t="s">
        <v>82</v>
      </c>
      <c r="D50" s="18" t="s">
        <v>81</v>
      </c>
      <c r="E50" s="5" t="s">
        <v>228</v>
      </c>
      <c r="F50" s="6"/>
      <c r="G50" s="24">
        <f>G51+G52</f>
        <v>2740</v>
      </c>
      <c r="H50" s="24">
        <f t="shared" ref="H50:L50" si="17">H51+H52</f>
        <v>257.96678000000003</v>
      </c>
      <c r="I50" s="24">
        <f t="shared" si="17"/>
        <v>3826</v>
      </c>
      <c r="J50" s="24">
        <f t="shared" si="17"/>
        <v>3830</v>
      </c>
      <c r="K50" s="24">
        <f t="shared" si="17"/>
        <v>3835</v>
      </c>
      <c r="L50" s="24">
        <f t="shared" si="17"/>
        <v>3840</v>
      </c>
    </row>
    <row r="51" spans="3:15" ht="25.5" x14ac:dyDescent="0.2">
      <c r="C51" s="14" t="s">
        <v>84</v>
      </c>
      <c r="D51" s="16" t="s">
        <v>83</v>
      </c>
      <c r="E51" s="5" t="s">
        <v>228</v>
      </c>
      <c r="F51" s="6"/>
      <c r="G51" s="24">
        <v>2600</v>
      </c>
      <c r="H51" s="24">
        <v>228.96</v>
      </c>
      <c r="I51" s="24">
        <v>3630.5109489051092</v>
      </c>
      <c r="J51" s="24">
        <v>3634.3</v>
      </c>
      <c r="K51" s="24">
        <v>3639.1</v>
      </c>
      <c r="L51" s="24">
        <v>3643.8</v>
      </c>
    </row>
    <row r="52" spans="3:15" ht="38.25" x14ac:dyDescent="0.2">
      <c r="C52" s="14" t="s">
        <v>86</v>
      </c>
      <c r="D52" s="16" t="s">
        <v>85</v>
      </c>
      <c r="E52" s="5" t="s">
        <v>228</v>
      </c>
      <c r="F52" s="6"/>
      <c r="G52" s="24">
        <v>140</v>
      </c>
      <c r="H52" s="24">
        <v>29.006779999999999</v>
      </c>
      <c r="I52" s="24">
        <v>195.48905109489078</v>
      </c>
      <c r="J52" s="24">
        <v>195.7</v>
      </c>
      <c r="K52" s="24">
        <v>195.9</v>
      </c>
      <c r="L52" s="24">
        <v>196.2</v>
      </c>
    </row>
    <row r="53" spans="3:15" ht="25.5" x14ac:dyDescent="0.2">
      <c r="C53" s="12" t="s">
        <v>88</v>
      </c>
      <c r="D53" s="13" t="s">
        <v>87</v>
      </c>
      <c r="E53" s="26"/>
      <c r="F53" s="26"/>
      <c r="G53" s="25">
        <f t="shared" ref="G53:L53" si="18">G54+G56+G57</f>
        <v>180353.59999999998</v>
      </c>
      <c r="H53" s="25">
        <f t="shared" si="18"/>
        <v>65953.482239999983</v>
      </c>
      <c r="I53" s="25">
        <f t="shared" si="18"/>
        <v>145460</v>
      </c>
      <c r="J53" s="25">
        <f t="shared" si="18"/>
        <v>149453.40000000002</v>
      </c>
      <c r="K53" s="25">
        <f t="shared" si="18"/>
        <v>160220.38880000002</v>
      </c>
      <c r="L53" s="25">
        <f t="shared" si="18"/>
        <v>164298.06806799999</v>
      </c>
    </row>
    <row r="54" spans="3:15" ht="51" x14ac:dyDescent="0.2">
      <c r="C54" s="35" t="s">
        <v>286</v>
      </c>
      <c r="D54" s="35" t="s">
        <v>249</v>
      </c>
      <c r="E54" s="28"/>
      <c r="F54" s="28"/>
      <c r="G54" s="29">
        <f>G55</f>
        <v>15</v>
      </c>
      <c r="H54" s="29">
        <f t="shared" ref="H54:L54" si="19">H55</f>
        <v>9.2250899999999998</v>
      </c>
      <c r="I54" s="29">
        <f t="shared" si="19"/>
        <v>15</v>
      </c>
      <c r="J54" s="29">
        <f t="shared" si="19"/>
        <v>15.7</v>
      </c>
      <c r="K54" s="29">
        <f t="shared" si="19"/>
        <v>16.399999999999999</v>
      </c>
      <c r="L54" s="29">
        <f t="shared" si="19"/>
        <v>17.100000000000001</v>
      </c>
    </row>
    <row r="55" spans="3:15" ht="38.25" x14ac:dyDescent="0.2">
      <c r="C55" s="32" t="s">
        <v>285</v>
      </c>
      <c r="D55" s="33" t="s">
        <v>250</v>
      </c>
      <c r="E55" s="48" t="s">
        <v>284</v>
      </c>
      <c r="F55" s="6"/>
      <c r="G55" s="24">
        <v>15</v>
      </c>
      <c r="H55" s="24">
        <v>9.2250899999999998</v>
      </c>
      <c r="I55" s="24">
        <v>15</v>
      </c>
      <c r="J55" s="24">
        <v>15.7</v>
      </c>
      <c r="K55" s="24">
        <v>16.399999999999999</v>
      </c>
      <c r="L55" s="24">
        <v>17.100000000000001</v>
      </c>
    </row>
    <row r="56" spans="3:15" ht="102" x14ac:dyDescent="0.2">
      <c r="C56" s="17" t="s">
        <v>288</v>
      </c>
      <c r="D56" s="18" t="s">
        <v>89</v>
      </c>
      <c r="E56" s="49" t="s">
        <v>287</v>
      </c>
      <c r="F56" s="6"/>
      <c r="G56" s="24">
        <v>1334.6</v>
      </c>
      <c r="H56" s="24">
        <v>2119.6999999999998</v>
      </c>
      <c r="I56" s="24">
        <v>4000</v>
      </c>
      <c r="J56" s="24">
        <v>4192</v>
      </c>
      <c r="K56" s="24">
        <v>4380.6400000000003</v>
      </c>
      <c r="L56" s="24">
        <v>4569</v>
      </c>
    </row>
    <row r="57" spans="3:15" ht="51" x14ac:dyDescent="0.2">
      <c r="C57" s="14" t="s">
        <v>91</v>
      </c>
      <c r="D57" s="16" t="s">
        <v>90</v>
      </c>
      <c r="E57" s="6"/>
      <c r="F57" s="6"/>
      <c r="G57" s="24">
        <f>G58+G59+G60+G62+G63+G64+G65+G66+G69+G71+G73+G74+G75+G76</f>
        <v>179003.99999999997</v>
      </c>
      <c r="H57" s="24">
        <f t="shared" ref="H57:L57" si="20">H58+H59+H60+H62+H63+H64+H65+H66+H69+H71+H73+H74+H75+H76</f>
        <v>63824.557149999986</v>
      </c>
      <c r="I57" s="24">
        <f t="shared" si="20"/>
        <v>141445</v>
      </c>
      <c r="J57" s="24">
        <f t="shared" si="20"/>
        <v>145245.70000000001</v>
      </c>
      <c r="K57" s="24">
        <f t="shared" si="20"/>
        <v>155823.34880000001</v>
      </c>
      <c r="L57" s="24">
        <f t="shared" si="20"/>
        <v>159711.96806799999</v>
      </c>
      <c r="O57" s="36"/>
    </row>
    <row r="58" spans="3:15" ht="112.5" customHeight="1" x14ac:dyDescent="0.2">
      <c r="C58" s="34" t="s">
        <v>289</v>
      </c>
      <c r="D58" s="35" t="s">
        <v>247</v>
      </c>
      <c r="E58" s="50" t="s">
        <v>284</v>
      </c>
      <c r="F58" s="28"/>
      <c r="G58" s="29">
        <v>500</v>
      </c>
      <c r="H58" s="29">
        <v>137.92400000000001</v>
      </c>
      <c r="I58" s="29">
        <v>250</v>
      </c>
      <c r="J58" s="29">
        <v>262</v>
      </c>
      <c r="K58" s="29">
        <v>273.79000000000002</v>
      </c>
      <c r="L58" s="29">
        <v>285.60000000000002</v>
      </c>
    </row>
    <row r="59" spans="3:15" ht="51" x14ac:dyDescent="0.2">
      <c r="C59" s="17" t="s">
        <v>291</v>
      </c>
      <c r="D59" s="18" t="s">
        <v>92</v>
      </c>
      <c r="E59" s="41" t="s">
        <v>290</v>
      </c>
      <c r="F59" s="6"/>
      <c r="G59" s="24">
        <v>82000</v>
      </c>
      <c r="H59" s="24">
        <v>28203.187999999998</v>
      </c>
      <c r="I59" s="24">
        <v>65000</v>
      </c>
      <c r="J59" s="24">
        <v>68120</v>
      </c>
      <c r="K59" s="24">
        <v>71185.399999999994</v>
      </c>
      <c r="L59" s="24">
        <v>74246.372199999983</v>
      </c>
    </row>
    <row r="60" spans="3:15" ht="89.25" x14ac:dyDescent="0.2">
      <c r="C60" s="17" t="s">
        <v>94</v>
      </c>
      <c r="D60" s="18" t="s">
        <v>93</v>
      </c>
      <c r="E60" s="6"/>
      <c r="F60" s="6"/>
      <c r="G60" s="24">
        <f>G61</f>
        <v>72664</v>
      </c>
      <c r="H60" s="24">
        <f>H61</f>
        <v>21786.25</v>
      </c>
      <c r="I60" s="24">
        <f t="shared" ref="I60:L60" si="21">I61</f>
        <v>49683</v>
      </c>
      <c r="J60" s="24">
        <f t="shared" si="21"/>
        <v>47620.7</v>
      </c>
      <c r="K60" s="24">
        <f t="shared" si="21"/>
        <v>50004.9</v>
      </c>
      <c r="L60" s="24">
        <f t="shared" si="21"/>
        <v>49103.4</v>
      </c>
    </row>
    <row r="61" spans="3:15" ht="102" x14ac:dyDescent="0.2">
      <c r="C61" s="14" t="s">
        <v>96</v>
      </c>
      <c r="D61" s="16" t="s">
        <v>95</v>
      </c>
      <c r="E61" s="41" t="s">
        <v>293</v>
      </c>
      <c r="F61" s="6"/>
      <c r="G61" s="23">
        <v>72664</v>
      </c>
      <c r="H61" s="24">
        <v>21786.25</v>
      </c>
      <c r="I61" s="24">
        <v>49683</v>
      </c>
      <c r="J61" s="24">
        <v>47620.7</v>
      </c>
      <c r="K61" s="24">
        <v>50004.9</v>
      </c>
      <c r="L61" s="24">
        <v>49103.4</v>
      </c>
    </row>
    <row r="62" spans="3:15" ht="38.25" x14ac:dyDescent="0.2">
      <c r="C62" s="17" t="s">
        <v>294</v>
      </c>
      <c r="D62" s="18" t="s">
        <v>97</v>
      </c>
      <c r="E62" s="54" t="s">
        <v>287</v>
      </c>
      <c r="F62" s="51"/>
      <c r="G62" s="47">
        <v>2516.9</v>
      </c>
      <c r="H62" s="47">
        <v>1481.05117</v>
      </c>
      <c r="I62" s="47">
        <v>2900</v>
      </c>
      <c r="J62" s="47">
        <v>3039.2</v>
      </c>
      <c r="K62" s="47">
        <v>3175.9639999999995</v>
      </c>
      <c r="L62" s="47">
        <v>3312.5</v>
      </c>
    </row>
    <row r="63" spans="3:15" ht="89.25" x14ac:dyDescent="0.2">
      <c r="C63" s="34" t="s">
        <v>296</v>
      </c>
      <c r="D63" s="35" t="s">
        <v>248</v>
      </c>
      <c r="E63" s="55" t="s">
        <v>295</v>
      </c>
      <c r="F63" s="44"/>
      <c r="G63" s="45">
        <v>187.2</v>
      </c>
      <c r="H63" s="45">
        <v>96.4</v>
      </c>
      <c r="I63" s="45">
        <v>200</v>
      </c>
      <c r="J63" s="45">
        <v>209.6</v>
      </c>
      <c r="K63" s="45">
        <v>219</v>
      </c>
      <c r="L63" s="45">
        <v>228.5</v>
      </c>
    </row>
    <row r="64" spans="3:15" ht="51" x14ac:dyDescent="0.2">
      <c r="C64" s="34" t="s">
        <v>297</v>
      </c>
      <c r="D64" s="35" t="s">
        <v>98</v>
      </c>
      <c r="E64" s="55" t="s">
        <v>295</v>
      </c>
      <c r="F64" s="46"/>
      <c r="G64" s="47">
        <v>4</v>
      </c>
      <c r="H64" s="47">
        <v>4</v>
      </c>
      <c r="I64" s="47">
        <v>4</v>
      </c>
      <c r="J64" s="47">
        <v>4.2</v>
      </c>
      <c r="K64" s="47">
        <v>4.4000000000000004</v>
      </c>
      <c r="L64" s="47">
        <v>4.5999999999999996</v>
      </c>
    </row>
    <row r="65" spans="3:12" ht="114.75" x14ac:dyDescent="0.2">
      <c r="C65" s="34" t="s">
        <v>283</v>
      </c>
      <c r="D65" s="35" t="s">
        <v>99</v>
      </c>
      <c r="E65" s="63" t="s">
        <v>282</v>
      </c>
      <c r="F65" s="46"/>
      <c r="G65" s="47">
        <v>326.10000000000002</v>
      </c>
      <c r="H65" s="47">
        <v>153.09997999999999</v>
      </c>
      <c r="I65" s="47">
        <v>200</v>
      </c>
      <c r="J65" s="47">
        <v>209.6</v>
      </c>
      <c r="K65" s="47">
        <v>219.03200000000001</v>
      </c>
      <c r="L65" s="47">
        <v>228.5</v>
      </c>
    </row>
    <row r="66" spans="3:12" ht="102" x14ac:dyDescent="0.2">
      <c r="C66" s="17" t="s">
        <v>101</v>
      </c>
      <c r="D66" s="18" t="s">
        <v>100</v>
      </c>
      <c r="E66" s="28"/>
      <c r="F66" s="28"/>
      <c r="G66" s="29">
        <f>G67+G68</f>
        <v>9093.7999999999993</v>
      </c>
      <c r="H66" s="29">
        <f>H67+H68</f>
        <v>5138.0940000000001</v>
      </c>
      <c r="I66" s="29">
        <f t="shared" ref="I66:L66" si="22">I67+I68</f>
        <v>11330</v>
      </c>
      <c r="J66" s="29">
        <f t="shared" si="22"/>
        <v>11873.8</v>
      </c>
      <c r="K66" s="29">
        <f t="shared" si="22"/>
        <v>12408.162799999998</v>
      </c>
      <c r="L66" s="29">
        <f t="shared" si="22"/>
        <v>12941.695867999997</v>
      </c>
    </row>
    <row r="67" spans="3:12" ht="120" customHeight="1" x14ac:dyDescent="0.2">
      <c r="C67" s="14" t="s">
        <v>298</v>
      </c>
      <c r="D67" s="16" t="s">
        <v>246</v>
      </c>
      <c r="E67" s="48" t="s">
        <v>287</v>
      </c>
      <c r="F67" s="6"/>
      <c r="G67" s="24">
        <v>0</v>
      </c>
      <c r="H67" s="24">
        <v>170.8</v>
      </c>
      <c r="I67" s="24">
        <v>230</v>
      </c>
      <c r="J67" s="24">
        <v>241</v>
      </c>
      <c r="K67" s="24">
        <v>251.88679999999999</v>
      </c>
      <c r="L67" s="24">
        <v>262.7</v>
      </c>
    </row>
    <row r="68" spans="3:12" ht="219" customHeight="1" x14ac:dyDescent="0.2">
      <c r="C68" s="14" t="s">
        <v>300</v>
      </c>
      <c r="D68" s="15" t="s">
        <v>102</v>
      </c>
      <c r="E68" s="41" t="s">
        <v>299</v>
      </c>
      <c r="F68" s="6"/>
      <c r="G68" s="24">
        <v>9093.7999999999993</v>
      </c>
      <c r="H68" s="24">
        <v>4967.2939999999999</v>
      </c>
      <c r="I68" s="24">
        <v>11100</v>
      </c>
      <c r="J68" s="24">
        <v>11632.8</v>
      </c>
      <c r="K68" s="24">
        <v>12156.275999999998</v>
      </c>
      <c r="L68" s="24">
        <v>12678.995867999996</v>
      </c>
    </row>
    <row r="69" spans="3:12" ht="89.25" x14ac:dyDescent="0.2">
      <c r="C69" s="17" t="s">
        <v>104</v>
      </c>
      <c r="D69" s="18" t="s">
        <v>103</v>
      </c>
      <c r="E69" s="28"/>
      <c r="F69" s="28"/>
      <c r="G69" s="29">
        <f>G70</f>
        <v>9600</v>
      </c>
      <c r="H69" s="29">
        <f t="shared" ref="H69:L69" si="23">H70</f>
        <v>5415.6</v>
      </c>
      <c r="I69" s="29">
        <f t="shared" si="23"/>
        <v>9600</v>
      </c>
      <c r="J69" s="29">
        <f t="shared" si="23"/>
        <v>11600</v>
      </c>
      <c r="K69" s="29">
        <f>K70</f>
        <v>16600</v>
      </c>
      <c r="L69" s="29">
        <f t="shared" si="23"/>
        <v>17600</v>
      </c>
    </row>
    <row r="70" spans="3:12" ht="127.5" x14ac:dyDescent="0.2">
      <c r="C70" s="14" t="s">
        <v>302</v>
      </c>
      <c r="D70" s="15" t="s">
        <v>105</v>
      </c>
      <c r="E70" s="20" t="s">
        <v>301</v>
      </c>
      <c r="F70" s="6"/>
      <c r="G70" s="24">
        <v>9600</v>
      </c>
      <c r="H70" s="24">
        <v>5415.6</v>
      </c>
      <c r="I70" s="24">
        <v>9600</v>
      </c>
      <c r="J70" s="24">
        <v>11600</v>
      </c>
      <c r="K70" s="24">
        <v>16600</v>
      </c>
      <c r="L70" s="24">
        <v>17600</v>
      </c>
    </row>
    <row r="71" spans="3:12" ht="89.25" x14ac:dyDescent="0.2">
      <c r="C71" s="17" t="s">
        <v>303</v>
      </c>
      <c r="D71" s="19" t="s">
        <v>244</v>
      </c>
      <c r="E71" s="28"/>
      <c r="F71" s="28"/>
      <c r="G71" s="29">
        <f>G72</f>
        <v>149.80000000000001</v>
      </c>
      <c r="H71" s="29">
        <f>H72</f>
        <v>195.45</v>
      </c>
      <c r="I71" s="29">
        <f t="shared" ref="I71:L71" si="24">I72</f>
        <v>320</v>
      </c>
      <c r="J71" s="29">
        <f t="shared" si="24"/>
        <v>320</v>
      </c>
      <c r="K71" s="29">
        <f t="shared" si="24"/>
        <v>320</v>
      </c>
      <c r="L71" s="29">
        <f t="shared" si="24"/>
        <v>320</v>
      </c>
    </row>
    <row r="72" spans="3:12" ht="114.75" x14ac:dyDescent="0.2">
      <c r="C72" s="14" t="s">
        <v>304</v>
      </c>
      <c r="D72" s="15" t="s">
        <v>245</v>
      </c>
      <c r="E72" s="20" t="s">
        <v>292</v>
      </c>
      <c r="F72" s="6"/>
      <c r="G72" s="24">
        <v>149.80000000000001</v>
      </c>
      <c r="H72" s="24">
        <v>195.45</v>
      </c>
      <c r="I72" s="24">
        <v>320</v>
      </c>
      <c r="J72" s="24">
        <v>320</v>
      </c>
      <c r="K72" s="24">
        <v>320</v>
      </c>
      <c r="L72" s="24">
        <v>320</v>
      </c>
    </row>
    <row r="73" spans="3:12" s="66" customFormat="1" ht="63.75" x14ac:dyDescent="0.2">
      <c r="C73" s="67" t="s">
        <v>306</v>
      </c>
      <c r="D73" s="68" t="s">
        <v>243</v>
      </c>
      <c r="E73" s="69" t="s">
        <v>305</v>
      </c>
      <c r="F73" s="70"/>
      <c r="G73" s="71">
        <v>728.4</v>
      </c>
      <c r="H73" s="71">
        <v>330</v>
      </c>
      <c r="I73" s="71">
        <v>602</v>
      </c>
      <c r="J73" s="71">
        <v>602</v>
      </c>
      <c r="K73" s="71">
        <v>0</v>
      </c>
      <c r="L73" s="71">
        <v>0</v>
      </c>
    </row>
    <row r="74" spans="3:12" ht="102" x14ac:dyDescent="0.2">
      <c r="C74" s="14" t="s">
        <v>308</v>
      </c>
      <c r="D74" s="15" t="s">
        <v>106</v>
      </c>
      <c r="E74" s="41" t="s">
        <v>307</v>
      </c>
      <c r="F74" s="6"/>
      <c r="G74" s="24">
        <v>613.79999999999995</v>
      </c>
      <c r="H74" s="24">
        <v>556</v>
      </c>
      <c r="I74" s="24">
        <v>700</v>
      </c>
      <c r="J74" s="24">
        <v>700</v>
      </c>
      <c r="K74" s="24">
        <v>700</v>
      </c>
      <c r="L74" s="24">
        <v>700</v>
      </c>
    </row>
    <row r="75" spans="3:12" ht="114.75" x14ac:dyDescent="0.2">
      <c r="C75" s="14" t="s">
        <v>309</v>
      </c>
      <c r="D75" s="15" t="s">
        <v>107</v>
      </c>
      <c r="E75" s="41" t="s">
        <v>307</v>
      </c>
      <c r="F75" s="6"/>
      <c r="G75" s="24">
        <v>74.599999999999994</v>
      </c>
      <c r="H75" s="24">
        <v>27.5</v>
      </c>
      <c r="I75" s="72">
        <v>60</v>
      </c>
      <c r="J75" s="24">
        <v>60</v>
      </c>
      <c r="K75" s="24">
        <v>60</v>
      </c>
      <c r="L75" s="24">
        <v>60</v>
      </c>
    </row>
    <row r="76" spans="3:12" ht="76.5" x14ac:dyDescent="0.2">
      <c r="C76" s="14" t="s">
        <v>310</v>
      </c>
      <c r="D76" s="16" t="s">
        <v>108</v>
      </c>
      <c r="E76" s="41" t="s">
        <v>299</v>
      </c>
      <c r="F76" s="6"/>
      <c r="G76" s="24">
        <v>545.4</v>
      </c>
      <c r="H76" s="24">
        <v>300</v>
      </c>
      <c r="I76" s="24">
        <v>596</v>
      </c>
      <c r="J76" s="24">
        <v>624.6</v>
      </c>
      <c r="K76" s="24">
        <v>652.70000000000005</v>
      </c>
      <c r="L76" s="24">
        <v>680.8</v>
      </c>
    </row>
    <row r="77" spans="3:12" ht="38.25" x14ac:dyDescent="0.2">
      <c r="C77" s="12" t="s">
        <v>311</v>
      </c>
      <c r="D77" s="13" t="s">
        <v>109</v>
      </c>
      <c r="E77" s="41" t="s">
        <v>284</v>
      </c>
      <c r="F77" s="6"/>
      <c r="G77" s="24">
        <v>0</v>
      </c>
      <c r="H77" s="24">
        <v>1.4663900000000001</v>
      </c>
      <c r="I77" s="24">
        <v>0</v>
      </c>
      <c r="J77" s="24">
        <v>0</v>
      </c>
      <c r="K77" s="24">
        <v>0</v>
      </c>
      <c r="L77" s="24">
        <v>0</v>
      </c>
    </row>
    <row r="78" spans="3:12" ht="38.25" x14ac:dyDescent="0.2">
      <c r="C78" s="12" t="s">
        <v>111</v>
      </c>
      <c r="D78" s="13" t="s">
        <v>110</v>
      </c>
      <c r="E78" s="26"/>
      <c r="F78" s="26"/>
      <c r="G78" s="25">
        <f>G79+G81+G83+G88+G90+G93</f>
        <v>72202.5</v>
      </c>
      <c r="H78" s="25">
        <f t="shared" ref="H78:L78" si="25">H79+H81+H83+H88+H90+H93</f>
        <v>28504.817080000001</v>
      </c>
      <c r="I78" s="25">
        <f t="shared" si="25"/>
        <v>62750.9</v>
      </c>
      <c r="J78" s="25">
        <f t="shared" si="25"/>
        <v>63958.100000000013</v>
      </c>
      <c r="K78" s="25">
        <f t="shared" si="25"/>
        <v>65553.900000000009</v>
      </c>
      <c r="L78" s="25">
        <f t="shared" si="25"/>
        <v>67229.699999999983</v>
      </c>
    </row>
    <row r="79" spans="3:12" ht="59.25" customHeight="1" x14ac:dyDescent="0.2">
      <c r="C79" s="17" t="s">
        <v>113</v>
      </c>
      <c r="D79" s="18" t="s">
        <v>112</v>
      </c>
      <c r="E79" s="58"/>
      <c r="F79" s="6"/>
      <c r="G79" s="24">
        <f>G80</f>
        <v>200</v>
      </c>
      <c r="H79" s="24">
        <f t="shared" ref="H79:L79" si="26">H80</f>
        <v>0</v>
      </c>
      <c r="I79" s="24">
        <f t="shared" si="26"/>
        <v>1600</v>
      </c>
      <c r="J79" s="24">
        <f t="shared" si="26"/>
        <v>1680</v>
      </c>
      <c r="K79" s="24">
        <f t="shared" si="26"/>
        <v>1764</v>
      </c>
      <c r="L79" s="24">
        <f t="shared" si="26"/>
        <v>1852.2</v>
      </c>
    </row>
    <row r="80" spans="3:12" ht="76.5" x14ac:dyDescent="0.2">
      <c r="C80" s="14" t="s">
        <v>251</v>
      </c>
      <c r="D80" s="16" t="s">
        <v>114</v>
      </c>
      <c r="E80" s="58" t="s">
        <v>252</v>
      </c>
      <c r="F80" s="6"/>
      <c r="G80" s="24">
        <v>200</v>
      </c>
      <c r="H80" s="24">
        <v>0</v>
      </c>
      <c r="I80" s="24">
        <v>1600</v>
      </c>
      <c r="J80" s="24">
        <v>1680</v>
      </c>
      <c r="K80" s="24">
        <v>1764</v>
      </c>
      <c r="L80" s="24">
        <v>1852.2</v>
      </c>
    </row>
    <row r="81" spans="3:12" ht="38.25" x14ac:dyDescent="0.2">
      <c r="C81" s="17" t="s">
        <v>255</v>
      </c>
      <c r="D81" s="18" t="s">
        <v>253</v>
      </c>
      <c r="E81" s="37"/>
      <c r="F81" s="6"/>
      <c r="G81" s="24">
        <f>G82</f>
        <v>32000</v>
      </c>
      <c r="H81" s="24">
        <f t="shared" ref="H81:L81" si="27">H82</f>
        <v>13524.752990000001</v>
      </c>
      <c r="I81" s="24">
        <f t="shared" si="27"/>
        <v>32000</v>
      </c>
      <c r="J81" s="24">
        <f t="shared" si="27"/>
        <v>32000</v>
      </c>
      <c r="K81" s="24">
        <f t="shared" si="27"/>
        <v>32000</v>
      </c>
      <c r="L81" s="24">
        <f t="shared" si="27"/>
        <v>32000</v>
      </c>
    </row>
    <row r="82" spans="3:12" ht="51" x14ac:dyDescent="0.2">
      <c r="C82" s="17" t="s">
        <v>257</v>
      </c>
      <c r="D82" s="16" t="s">
        <v>256</v>
      </c>
      <c r="E82" s="37" t="s">
        <v>254</v>
      </c>
      <c r="F82" s="6"/>
      <c r="G82" s="24">
        <v>32000</v>
      </c>
      <c r="H82" s="24">
        <v>13524.752990000001</v>
      </c>
      <c r="I82" s="24">
        <v>32000</v>
      </c>
      <c r="J82" s="24">
        <v>32000</v>
      </c>
      <c r="K82" s="24">
        <v>32000</v>
      </c>
      <c r="L82" s="24">
        <v>32000</v>
      </c>
    </row>
    <row r="83" spans="3:12" ht="127.5" x14ac:dyDescent="0.2">
      <c r="C83" s="17" t="s">
        <v>116</v>
      </c>
      <c r="D83" s="19" t="s">
        <v>115</v>
      </c>
      <c r="E83" s="28"/>
      <c r="F83" s="28"/>
      <c r="G83" s="29">
        <f>G84+G86</f>
        <v>39382.5</v>
      </c>
      <c r="H83" s="29">
        <f>H84+H86</f>
        <v>14515.596950000001</v>
      </c>
      <c r="I83" s="29">
        <f t="shared" ref="I83:L83" si="28">I84+I86</f>
        <v>28258.6</v>
      </c>
      <c r="J83" s="29">
        <f t="shared" si="28"/>
        <v>29669.600000000002</v>
      </c>
      <c r="K83" s="29">
        <f t="shared" si="28"/>
        <v>31151</v>
      </c>
      <c r="L83" s="29">
        <f t="shared" si="28"/>
        <v>32706.6</v>
      </c>
    </row>
    <row r="84" spans="3:12" ht="114.75" x14ac:dyDescent="0.2">
      <c r="C84" s="17" t="s">
        <v>118</v>
      </c>
      <c r="D84" s="19" t="s">
        <v>117</v>
      </c>
      <c r="E84" s="6"/>
      <c r="F84" s="6"/>
      <c r="G84" s="24">
        <f>G85</f>
        <v>3000</v>
      </c>
      <c r="H84" s="24">
        <f t="shared" ref="H84:L84" si="29">H85</f>
        <v>946.2373</v>
      </c>
      <c r="I84" s="24">
        <f t="shared" si="29"/>
        <v>2113</v>
      </c>
      <c r="J84" s="24">
        <f t="shared" si="29"/>
        <v>2216.6999999999998</v>
      </c>
      <c r="K84" s="24">
        <f t="shared" si="29"/>
        <v>2325.5</v>
      </c>
      <c r="L84" s="24">
        <f t="shared" si="29"/>
        <v>2439.8000000000002</v>
      </c>
    </row>
    <row r="85" spans="3:12" ht="102" x14ac:dyDescent="0.2">
      <c r="C85" s="14" t="s">
        <v>312</v>
      </c>
      <c r="D85" s="15" t="s">
        <v>119</v>
      </c>
      <c r="E85" s="41" t="s">
        <v>313</v>
      </c>
      <c r="F85" s="6"/>
      <c r="G85" s="24">
        <v>3000</v>
      </c>
      <c r="H85" s="24">
        <v>946.2373</v>
      </c>
      <c r="I85" s="24">
        <v>2113</v>
      </c>
      <c r="J85" s="24">
        <v>2216.6999999999998</v>
      </c>
      <c r="K85" s="24">
        <v>2325.5</v>
      </c>
      <c r="L85" s="24">
        <v>2439.8000000000002</v>
      </c>
    </row>
    <row r="86" spans="3:12" ht="114.75" x14ac:dyDescent="0.2">
      <c r="C86" s="17" t="s">
        <v>121</v>
      </c>
      <c r="D86" s="19" t="s">
        <v>120</v>
      </c>
      <c r="E86" s="28"/>
      <c r="F86" s="28"/>
      <c r="G86" s="29">
        <f>G87</f>
        <v>36382.5</v>
      </c>
      <c r="H86" s="29">
        <f t="shared" ref="H86:L86" si="30">H87</f>
        <v>13569.35965</v>
      </c>
      <c r="I86" s="29">
        <f t="shared" si="30"/>
        <v>26145.599999999999</v>
      </c>
      <c r="J86" s="29">
        <f t="shared" si="30"/>
        <v>27452.9</v>
      </c>
      <c r="K86" s="29">
        <f t="shared" si="30"/>
        <v>28825.5</v>
      </c>
      <c r="L86" s="29">
        <f t="shared" si="30"/>
        <v>30266.799999999999</v>
      </c>
    </row>
    <row r="87" spans="3:12" ht="102" x14ac:dyDescent="0.2">
      <c r="C87" s="14" t="s">
        <v>314</v>
      </c>
      <c r="D87" s="16" t="s">
        <v>122</v>
      </c>
      <c r="E87" s="41" t="s">
        <v>252</v>
      </c>
      <c r="F87" s="6"/>
      <c r="G87" s="24">
        <v>36382.5</v>
      </c>
      <c r="H87" s="24">
        <v>13569.35965</v>
      </c>
      <c r="I87" s="24">
        <v>26145.599999999999</v>
      </c>
      <c r="J87" s="24">
        <v>27452.9</v>
      </c>
      <c r="K87" s="24">
        <v>28825.5</v>
      </c>
      <c r="L87" s="24">
        <v>30266.799999999999</v>
      </c>
    </row>
    <row r="88" spans="3:12" ht="63.75" x14ac:dyDescent="0.2">
      <c r="C88" s="17" t="s">
        <v>259</v>
      </c>
      <c r="D88" s="18" t="s">
        <v>258</v>
      </c>
      <c r="E88" s="44"/>
      <c r="F88" s="44"/>
      <c r="G88" s="47">
        <f>G89</f>
        <v>0</v>
      </c>
      <c r="H88" s="47">
        <f t="shared" ref="H88:L88" si="31">H89</f>
        <v>0.73116999999999999</v>
      </c>
      <c r="I88" s="47">
        <f>I89</f>
        <v>0.8</v>
      </c>
      <c r="J88" s="47">
        <f t="shared" si="31"/>
        <v>0.3</v>
      </c>
      <c r="K88" s="47">
        <f t="shared" si="31"/>
        <v>0.3</v>
      </c>
      <c r="L88" s="47">
        <f t="shared" si="31"/>
        <v>0.3</v>
      </c>
    </row>
    <row r="89" spans="3:12" ht="63.75" x14ac:dyDescent="0.2">
      <c r="C89" s="14" t="s">
        <v>315</v>
      </c>
      <c r="D89" s="16" t="s">
        <v>258</v>
      </c>
      <c r="E89" s="41" t="s">
        <v>271</v>
      </c>
      <c r="F89" s="51"/>
      <c r="G89" s="52">
        <v>0</v>
      </c>
      <c r="H89" s="52">
        <v>0.73116999999999999</v>
      </c>
      <c r="I89" s="52">
        <v>0.8</v>
      </c>
      <c r="J89" s="52">
        <v>0.3</v>
      </c>
      <c r="K89" s="52">
        <v>0.3</v>
      </c>
      <c r="L89" s="52">
        <v>0.3</v>
      </c>
    </row>
    <row r="90" spans="3:12" ht="38.25" x14ac:dyDescent="0.2">
      <c r="C90" s="17" t="s">
        <v>124</v>
      </c>
      <c r="D90" s="18" t="s">
        <v>123</v>
      </c>
      <c r="E90" s="38"/>
      <c r="F90" s="38"/>
      <c r="G90" s="39">
        <f>G91</f>
        <v>300</v>
      </c>
      <c r="H90" s="39">
        <f t="shared" ref="H90:L90" si="32">H91</f>
        <v>156.10294999999999</v>
      </c>
      <c r="I90" s="39">
        <f>I91</f>
        <v>391.5</v>
      </c>
      <c r="J90" s="39">
        <f t="shared" si="32"/>
        <v>497.4</v>
      </c>
      <c r="K90" s="39">
        <f t="shared" si="32"/>
        <v>522.29999999999995</v>
      </c>
      <c r="L90" s="39">
        <f t="shared" si="32"/>
        <v>548.4</v>
      </c>
    </row>
    <row r="91" spans="3:12" ht="63.75" x14ac:dyDescent="0.2">
      <c r="C91" s="14" t="s">
        <v>126</v>
      </c>
      <c r="D91" s="16" t="s">
        <v>125</v>
      </c>
      <c r="E91" s="58"/>
      <c r="F91" s="58"/>
      <c r="G91" s="40">
        <f>G92</f>
        <v>300</v>
      </c>
      <c r="H91" s="40">
        <f t="shared" ref="H91:L91" si="33">H92</f>
        <v>156.10294999999999</v>
      </c>
      <c r="I91" s="40">
        <f>I92</f>
        <v>391.5</v>
      </c>
      <c r="J91" s="40">
        <f t="shared" si="33"/>
        <v>497.4</v>
      </c>
      <c r="K91" s="40">
        <f t="shared" si="33"/>
        <v>522.29999999999995</v>
      </c>
      <c r="L91" s="40">
        <f t="shared" si="33"/>
        <v>548.4</v>
      </c>
    </row>
    <row r="92" spans="3:12" ht="76.5" x14ac:dyDescent="0.2">
      <c r="C92" s="14" t="s">
        <v>260</v>
      </c>
      <c r="D92" s="16" t="s">
        <v>127</v>
      </c>
      <c r="E92" s="58" t="s">
        <v>252</v>
      </c>
      <c r="F92" s="58"/>
      <c r="G92" s="40">
        <v>300</v>
      </c>
      <c r="H92" s="40">
        <v>156.10294999999999</v>
      </c>
      <c r="I92" s="40">
        <v>391.5</v>
      </c>
      <c r="J92" s="40">
        <v>497.4</v>
      </c>
      <c r="K92" s="40">
        <v>522.29999999999995</v>
      </c>
      <c r="L92" s="40">
        <v>548.4</v>
      </c>
    </row>
    <row r="93" spans="3:12" ht="116.25" customHeight="1" x14ac:dyDescent="0.2">
      <c r="C93" s="17" t="s">
        <v>262</v>
      </c>
      <c r="D93" s="18" t="s">
        <v>261</v>
      </c>
      <c r="E93" s="38"/>
      <c r="F93" s="38"/>
      <c r="G93" s="39">
        <f>G94</f>
        <v>320</v>
      </c>
      <c r="H93" s="39">
        <f t="shared" ref="H93:L93" si="34">H94</f>
        <v>307.63301999999999</v>
      </c>
      <c r="I93" s="39">
        <f t="shared" si="34"/>
        <v>500</v>
      </c>
      <c r="J93" s="39">
        <f t="shared" si="34"/>
        <v>110.8</v>
      </c>
      <c r="K93" s="39">
        <f t="shared" si="34"/>
        <v>116.3</v>
      </c>
      <c r="L93" s="39">
        <f t="shared" si="34"/>
        <v>122.2</v>
      </c>
    </row>
    <row r="94" spans="3:12" ht="116.25" customHeight="1" x14ac:dyDescent="0.2">
      <c r="C94" s="17" t="s">
        <v>317</v>
      </c>
      <c r="D94" s="16" t="s">
        <v>316</v>
      </c>
      <c r="E94" s="38"/>
      <c r="F94" s="38"/>
      <c r="G94" s="39">
        <f>G95</f>
        <v>320</v>
      </c>
      <c r="H94" s="39">
        <f t="shared" ref="H94:L94" si="35">H95</f>
        <v>307.63301999999999</v>
      </c>
      <c r="I94" s="39">
        <f t="shared" si="35"/>
        <v>500</v>
      </c>
      <c r="J94" s="39">
        <f t="shared" si="35"/>
        <v>110.8</v>
      </c>
      <c r="K94" s="39">
        <f t="shared" si="35"/>
        <v>116.3</v>
      </c>
      <c r="L94" s="39">
        <f t="shared" si="35"/>
        <v>122.2</v>
      </c>
    </row>
    <row r="95" spans="3:12" ht="99.75" customHeight="1" x14ac:dyDescent="0.2">
      <c r="C95" s="64" t="s">
        <v>264</v>
      </c>
      <c r="D95" s="16" t="s">
        <v>263</v>
      </c>
      <c r="E95" s="58" t="s">
        <v>252</v>
      </c>
      <c r="F95" s="58"/>
      <c r="G95" s="40">
        <v>320</v>
      </c>
      <c r="H95" s="40">
        <v>307.63301999999999</v>
      </c>
      <c r="I95" s="40">
        <v>500</v>
      </c>
      <c r="J95" s="40">
        <v>110.8</v>
      </c>
      <c r="K95" s="40">
        <v>116.3</v>
      </c>
      <c r="L95" s="40">
        <v>122.2</v>
      </c>
    </row>
    <row r="96" spans="3:12" ht="25.5" x14ac:dyDescent="0.2">
      <c r="C96" s="12" t="s">
        <v>129</v>
      </c>
      <c r="D96" s="13" t="s">
        <v>128</v>
      </c>
      <c r="E96" s="6"/>
      <c r="F96" s="6"/>
      <c r="G96" s="25">
        <f>G97+G104+G112</f>
        <v>617685</v>
      </c>
      <c r="H96" s="25">
        <f t="shared" ref="H96:L96" si="36">H97+H104+H112</f>
        <v>244993.97975</v>
      </c>
      <c r="I96" s="25">
        <f t="shared" si="36"/>
        <v>548363.9</v>
      </c>
      <c r="J96" s="25">
        <f t="shared" si="36"/>
        <v>588466.9</v>
      </c>
      <c r="K96" s="25">
        <f t="shared" si="36"/>
        <v>622677.4</v>
      </c>
      <c r="L96" s="25">
        <f t="shared" si="36"/>
        <v>660961.1</v>
      </c>
    </row>
    <row r="97" spans="3:12" ht="25.5" x14ac:dyDescent="0.2">
      <c r="C97" s="17" t="s">
        <v>131</v>
      </c>
      <c r="D97" s="18" t="s">
        <v>130</v>
      </c>
      <c r="E97" s="6"/>
      <c r="F97" s="6"/>
      <c r="G97" s="24">
        <f>G98+G99+G100+G101+G102+G103</f>
        <v>277815</v>
      </c>
      <c r="H97" s="24">
        <f t="shared" ref="H97:L97" si="37">H98+H99+H100+H101+H102+H103</f>
        <v>19830.932339999999</v>
      </c>
      <c r="I97" s="24">
        <f t="shared" si="37"/>
        <v>39661.9</v>
      </c>
      <c r="J97" s="24">
        <f t="shared" si="37"/>
        <v>39661.9</v>
      </c>
      <c r="K97" s="24">
        <f t="shared" si="37"/>
        <v>41367.4</v>
      </c>
      <c r="L97" s="24">
        <f t="shared" si="37"/>
        <v>43146.100000000006</v>
      </c>
    </row>
    <row r="98" spans="3:12" ht="38.25" x14ac:dyDescent="0.2">
      <c r="C98" s="14" t="s">
        <v>133</v>
      </c>
      <c r="D98" s="16" t="s">
        <v>132</v>
      </c>
      <c r="E98" s="56" t="s">
        <v>318</v>
      </c>
      <c r="F98" s="6"/>
      <c r="G98" s="24">
        <v>42655</v>
      </c>
      <c r="H98" s="24">
        <v>6096.4372400000002</v>
      </c>
      <c r="I98" s="24">
        <v>12192.9</v>
      </c>
      <c r="J98" s="24">
        <v>12192.9</v>
      </c>
      <c r="K98" s="24">
        <v>12717.2</v>
      </c>
      <c r="L98" s="24">
        <v>13264</v>
      </c>
    </row>
    <row r="99" spans="3:12" ht="38.25" x14ac:dyDescent="0.2">
      <c r="C99" s="14" t="s">
        <v>135</v>
      </c>
      <c r="D99" s="16" t="s">
        <v>134</v>
      </c>
      <c r="E99" s="56" t="s">
        <v>318</v>
      </c>
      <c r="F99" s="6"/>
      <c r="G99" s="24">
        <v>0</v>
      </c>
      <c r="H99" s="24">
        <v>28.150670000000002</v>
      </c>
      <c r="I99" s="24">
        <v>56.3</v>
      </c>
      <c r="J99" s="24">
        <v>56.3</v>
      </c>
      <c r="K99" s="24">
        <v>58.7</v>
      </c>
      <c r="L99" s="24">
        <v>61.3</v>
      </c>
    </row>
    <row r="100" spans="3:12" ht="25.5" x14ac:dyDescent="0.2">
      <c r="C100" s="14" t="s">
        <v>137</v>
      </c>
      <c r="D100" s="16" t="s">
        <v>136</v>
      </c>
      <c r="E100" s="56" t="s">
        <v>318</v>
      </c>
      <c r="F100" s="6"/>
      <c r="G100" s="24">
        <v>12320</v>
      </c>
      <c r="H100" s="24">
        <v>3768.5455999999999</v>
      </c>
      <c r="I100" s="24">
        <v>7537.1</v>
      </c>
      <c r="J100" s="24">
        <v>7537.1</v>
      </c>
      <c r="K100" s="24">
        <v>7861.2</v>
      </c>
      <c r="L100" s="24">
        <v>8199.2000000000007</v>
      </c>
    </row>
    <row r="101" spans="3:12" ht="25.5" x14ac:dyDescent="0.2">
      <c r="C101" s="14" t="s">
        <v>139</v>
      </c>
      <c r="D101" s="16" t="s">
        <v>138</v>
      </c>
      <c r="E101" s="56" t="s">
        <v>318</v>
      </c>
      <c r="F101" s="6"/>
      <c r="G101" s="24">
        <v>38640</v>
      </c>
      <c r="H101" s="6">
        <v>7983.10772</v>
      </c>
      <c r="I101" s="24">
        <v>15966.2</v>
      </c>
      <c r="J101" s="24">
        <v>15966.2</v>
      </c>
      <c r="K101" s="24">
        <v>16652.8</v>
      </c>
      <c r="L101" s="24">
        <v>17368.8</v>
      </c>
    </row>
    <row r="102" spans="3:12" ht="25.5" x14ac:dyDescent="0.2">
      <c r="C102" s="14" t="s">
        <v>141</v>
      </c>
      <c r="D102" s="16" t="s">
        <v>140</v>
      </c>
      <c r="E102" s="56" t="s">
        <v>318</v>
      </c>
      <c r="F102" s="6"/>
      <c r="G102" s="24">
        <v>0</v>
      </c>
      <c r="H102" s="24">
        <v>0</v>
      </c>
      <c r="I102" s="24">
        <v>0</v>
      </c>
      <c r="J102" s="24">
        <v>0</v>
      </c>
      <c r="K102" s="24">
        <v>0</v>
      </c>
      <c r="L102" s="24">
        <v>0</v>
      </c>
    </row>
    <row r="103" spans="3:12" ht="51" x14ac:dyDescent="0.2">
      <c r="C103" s="14" t="s">
        <v>143</v>
      </c>
      <c r="D103" s="16" t="s">
        <v>142</v>
      </c>
      <c r="E103" s="56" t="s">
        <v>318</v>
      </c>
      <c r="F103" s="6"/>
      <c r="G103" s="24">
        <v>184200</v>
      </c>
      <c r="H103" s="24">
        <v>1954.69111</v>
      </c>
      <c r="I103" s="24">
        <v>3909.4</v>
      </c>
      <c r="J103" s="24">
        <v>3909.4</v>
      </c>
      <c r="K103" s="24">
        <v>4077.5</v>
      </c>
      <c r="L103" s="24">
        <v>4252.8</v>
      </c>
    </row>
    <row r="104" spans="3:12" ht="25.5" x14ac:dyDescent="0.2">
      <c r="C104" s="17" t="s">
        <v>145</v>
      </c>
      <c r="D104" s="18" t="s">
        <v>144</v>
      </c>
      <c r="E104" s="28"/>
      <c r="F104" s="28"/>
      <c r="G104" s="29">
        <f>G105+G107+G108+G110</f>
        <v>29870</v>
      </c>
      <c r="H104" s="29">
        <f>H105+H107+H108+H110</f>
        <v>11695.615540000001</v>
      </c>
      <c r="I104" s="29">
        <f t="shared" ref="I104:L104" si="38">I105+I107+I108+I110</f>
        <v>28702</v>
      </c>
      <c r="J104" s="29">
        <f t="shared" si="38"/>
        <v>29305</v>
      </c>
      <c r="K104" s="29">
        <f t="shared" si="38"/>
        <v>30310</v>
      </c>
      <c r="L104" s="29">
        <f t="shared" si="38"/>
        <v>31315</v>
      </c>
    </row>
    <row r="105" spans="3:12" ht="63.75" x14ac:dyDescent="0.2">
      <c r="C105" s="17" t="s">
        <v>147</v>
      </c>
      <c r="D105" s="18" t="s">
        <v>146</v>
      </c>
      <c r="E105" s="6"/>
      <c r="F105" s="6"/>
      <c r="G105" s="24">
        <f>G106</f>
        <v>0</v>
      </c>
      <c r="H105" s="24">
        <f t="shared" ref="H105:L105" si="39">H106</f>
        <v>40.975000000000001</v>
      </c>
      <c r="I105" s="24">
        <f t="shared" si="39"/>
        <v>5000</v>
      </c>
      <c r="J105" s="24">
        <f t="shared" si="39"/>
        <v>7000</v>
      </c>
      <c r="K105" s="24">
        <f t="shared" si="39"/>
        <v>8000</v>
      </c>
      <c r="L105" s="24">
        <f t="shared" si="39"/>
        <v>9000</v>
      </c>
    </row>
    <row r="106" spans="3:12" ht="76.5" x14ac:dyDescent="0.2">
      <c r="C106" s="14" t="s">
        <v>319</v>
      </c>
      <c r="D106" s="16" t="s">
        <v>148</v>
      </c>
      <c r="E106" s="41" t="s">
        <v>292</v>
      </c>
      <c r="F106" s="6"/>
      <c r="G106" s="24">
        <v>0</v>
      </c>
      <c r="H106" s="24">
        <v>40.975000000000001</v>
      </c>
      <c r="I106" s="24">
        <v>5000</v>
      </c>
      <c r="J106" s="24">
        <v>7000</v>
      </c>
      <c r="K106" s="24">
        <v>8000</v>
      </c>
      <c r="L106" s="24">
        <v>9000</v>
      </c>
    </row>
    <row r="107" spans="3:12" ht="38.25" x14ac:dyDescent="0.2">
      <c r="C107" s="14" t="s">
        <v>150</v>
      </c>
      <c r="D107" s="16" t="s">
        <v>149</v>
      </c>
      <c r="E107" s="41" t="s">
        <v>284</v>
      </c>
      <c r="F107" s="6"/>
      <c r="G107" s="24">
        <v>23870</v>
      </c>
      <c r="H107" s="24">
        <v>10152.45782</v>
      </c>
      <c r="I107" s="24">
        <v>21902</v>
      </c>
      <c r="J107" s="24">
        <v>21905</v>
      </c>
      <c r="K107" s="24">
        <v>21910</v>
      </c>
      <c r="L107" s="24">
        <v>21915</v>
      </c>
    </row>
    <row r="108" spans="3:12" ht="76.5" x14ac:dyDescent="0.2">
      <c r="C108" s="17" t="s">
        <v>152</v>
      </c>
      <c r="D108" s="18" t="s">
        <v>151</v>
      </c>
      <c r="E108" s="6"/>
      <c r="F108" s="6"/>
      <c r="G108" s="24">
        <f>G109</f>
        <v>0</v>
      </c>
      <c r="H108" s="24">
        <f t="shared" ref="H108:L108" si="40">H109</f>
        <v>75</v>
      </c>
      <c r="I108" s="24">
        <f t="shared" si="40"/>
        <v>100</v>
      </c>
      <c r="J108" s="24">
        <f t="shared" si="40"/>
        <v>100</v>
      </c>
      <c r="K108" s="24">
        <f t="shared" si="40"/>
        <v>100</v>
      </c>
      <c r="L108" s="24">
        <f t="shared" si="40"/>
        <v>100</v>
      </c>
    </row>
    <row r="109" spans="3:12" ht="89.25" x14ac:dyDescent="0.2">
      <c r="C109" s="14" t="s">
        <v>320</v>
      </c>
      <c r="D109" s="16" t="s">
        <v>153</v>
      </c>
      <c r="E109" s="41" t="s">
        <v>292</v>
      </c>
      <c r="F109" s="6"/>
      <c r="G109" s="24">
        <v>0</v>
      </c>
      <c r="H109" s="24">
        <v>75</v>
      </c>
      <c r="I109" s="24">
        <v>100</v>
      </c>
      <c r="J109" s="24">
        <v>100</v>
      </c>
      <c r="K109" s="24">
        <v>100</v>
      </c>
      <c r="L109" s="24">
        <v>100</v>
      </c>
    </row>
    <row r="110" spans="3:12" ht="25.5" x14ac:dyDescent="0.2">
      <c r="C110" s="14" t="s">
        <v>155</v>
      </c>
      <c r="D110" s="16" t="s">
        <v>154</v>
      </c>
      <c r="E110" s="6"/>
      <c r="F110" s="6"/>
      <c r="G110" s="24">
        <f>G111</f>
        <v>6000</v>
      </c>
      <c r="H110" s="24">
        <f t="shared" ref="H110:L110" si="41">H111</f>
        <v>1427.18272</v>
      </c>
      <c r="I110" s="24">
        <f t="shared" si="41"/>
        <v>1700</v>
      </c>
      <c r="J110" s="24">
        <f t="shared" si="41"/>
        <v>300</v>
      </c>
      <c r="K110" s="24">
        <f t="shared" si="41"/>
        <v>300</v>
      </c>
      <c r="L110" s="24">
        <f t="shared" si="41"/>
        <v>300</v>
      </c>
    </row>
    <row r="111" spans="3:12" ht="38.25" x14ac:dyDescent="0.2">
      <c r="C111" s="14" t="s">
        <v>321</v>
      </c>
      <c r="D111" s="16" t="s">
        <v>156</v>
      </c>
      <c r="E111" s="41" t="s">
        <v>292</v>
      </c>
      <c r="F111" s="6"/>
      <c r="G111" s="24">
        <v>6000</v>
      </c>
      <c r="H111" s="24">
        <v>1427.18272</v>
      </c>
      <c r="I111" s="24">
        <v>1700</v>
      </c>
      <c r="J111" s="24">
        <v>300</v>
      </c>
      <c r="K111" s="24">
        <v>300</v>
      </c>
      <c r="L111" s="24">
        <v>300</v>
      </c>
    </row>
    <row r="112" spans="3:12" x14ac:dyDescent="0.2">
      <c r="C112" s="14" t="s">
        <v>158</v>
      </c>
      <c r="D112" s="16" t="s">
        <v>157</v>
      </c>
      <c r="E112" s="6"/>
      <c r="F112" s="6"/>
      <c r="G112" s="24">
        <f>G113</f>
        <v>310000</v>
      </c>
      <c r="H112" s="24">
        <f t="shared" ref="H112:L112" si="42">H113</f>
        <v>213467.43187</v>
      </c>
      <c r="I112" s="24">
        <f t="shared" si="42"/>
        <v>480000</v>
      </c>
      <c r="J112" s="24">
        <f t="shared" si="42"/>
        <v>519500</v>
      </c>
      <c r="K112" s="24">
        <f t="shared" si="42"/>
        <v>551000</v>
      </c>
      <c r="L112" s="24">
        <f t="shared" si="42"/>
        <v>586500</v>
      </c>
    </row>
    <row r="113" spans="3:15" ht="38.25" x14ac:dyDescent="0.2">
      <c r="C113" s="17" t="s">
        <v>160</v>
      </c>
      <c r="D113" s="18" t="s">
        <v>159</v>
      </c>
      <c r="E113" s="6"/>
      <c r="F113" s="6"/>
      <c r="G113" s="24">
        <f>G114+G115+G116</f>
        <v>310000</v>
      </c>
      <c r="H113" s="24">
        <f t="shared" ref="H113:L113" si="43">H114+H115+H116</f>
        <v>213467.43187</v>
      </c>
      <c r="I113" s="24">
        <f t="shared" si="43"/>
        <v>480000</v>
      </c>
      <c r="J113" s="24">
        <f t="shared" si="43"/>
        <v>519500</v>
      </c>
      <c r="K113" s="24">
        <f t="shared" si="43"/>
        <v>551000</v>
      </c>
      <c r="L113" s="24">
        <f t="shared" si="43"/>
        <v>586500</v>
      </c>
    </row>
    <row r="114" spans="3:15" ht="63.75" x14ac:dyDescent="0.2">
      <c r="C114" s="14" t="s">
        <v>322</v>
      </c>
      <c r="D114" s="16" t="s">
        <v>161</v>
      </c>
      <c r="E114" s="41" t="s">
        <v>292</v>
      </c>
      <c r="F114" s="6"/>
      <c r="G114" s="24">
        <v>120000</v>
      </c>
      <c r="H114" s="24">
        <v>52670.570939999998</v>
      </c>
      <c r="I114" s="24">
        <v>150000</v>
      </c>
      <c r="J114" s="24">
        <v>170000</v>
      </c>
      <c r="K114" s="24">
        <v>180000</v>
      </c>
      <c r="L114" s="24">
        <v>200000</v>
      </c>
    </row>
    <row r="115" spans="3:15" ht="51" x14ac:dyDescent="0.2">
      <c r="C115" s="14" t="s">
        <v>323</v>
      </c>
      <c r="D115" s="16" t="s">
        <v>162</v>
      </c>
      <c r="E115" s="41" t="s">
        <v>292</v>
      </c>
      <c r="F115" s="6"/>
      <c r="G115" s="24">
        <v>180000</v>
      </c>
      <c r="H115" s="24">
        <v>155067.92702</v>
      </c>
      <c r="I115" s="24">
        <v>315000</v>
      </c>
      <c r="J115" s="24">
        <v>334000</v>
      </c>
      <c r="K115" s="24">
        <v>355000</v>
      </c>
      <c r="L115" s="24">
        <v>370000</v>
      </c>
    </row>
    <row r="116" spans="3:15" ht="63.75" x14ac:dyDescent="0.2">
      <c r="C116" s="14" t="s">
        <v>324</v>
      </c>
      <c r="D116" s="16" t="s">
        <v>163</v>
      </c>
      <c r="E116" s="41" t="s">
        <v>292</v>
      </c>
      <c r="F116" s="6"/>
      <c r="G116" s="24">
        <v>10000</v>
      </c>
      <c r="H116" s="24">
        <v>5728.9339099999997</v>
      </c>
      <c r="I116" s="24">
        <v>15000</v>
      </c>
      <c r="J116" s="24">
        <v>15500</v>
      </c>
      <c r="K116" s="24">
        <v>16000</v>
      </c>
      <c r="L116" s="24">
        <v>16500</v>
      </c>
    </row>
    <row r="117" spans="3:15" ht="38.25" x14ac:dyDescent="0.2">
      <c r="C117" s="12" t="s">
        <v>165</v>
      </c>
      <c r="D117" s="13" t="s">
        <v>164</v>
      </c>
      <c r="E117" s="26"/>
      <c r="F117" s="26"/>
      <c r="G117" s="25">
        <f>G118+G125</f>
        <v>122253</v>
      </c>
      <c r="H117" s="25">
        <f t="shared" ref="H117:L117" si="44">H118+H125</f>
        <v>51974.082560000003</v>
      </c>
      <c r="I117" s="25">
        <f t="shared" si="44"/>
        <v>114870.1</v>
      </c>
      <c r="J117" s="25">
        <f t="shared" si="44"/>
        <v>93685.9</v>
      </c>
      <c r="K117" s="25">
        <f t="shared" si="44"/>
        <v>93844</v>
      </c>
      <c r="L117" s="25">
        <f t="shared" si="44"/>
        <v>93901.099999999991</v>
      </c>
    </row>
    <row r="118" spans="3:15" ht="25.5" x14ac:dyDescent="0.2">
      <c r="C118" s="14" t="s">
        <v>167</v>
      </c>
      <c r="D118" s="16" t="s">
        <v>166</v>
      </c>
      <c r="E118" s="6"/>
      <c r="F118" s="6"/>
      <c r="G118" s="24">
        <f>G119+G120+G121+G123</f>
        <v>96488</v>
      </c>
      <c r="H118" s="24">
        <f t="shared" ref="H118:L118" si="45">H119+H120+H121+H123</f>
        <v>32235.612860000001</v>
      </c>
      <c r="I118" s="24">
        <f>I119+I120+I121+I123</f>
        <v>74029.8</v>
      </c>
      <c r="J118" s="24">
        <f t="shared" si="45"/>
        <v>71526.7</v>
      </c>
      <c r="K118" s="24">
        <f t="shared" si="45"/>
        <v>71600.2</v>
      </c>
      <c r="L118" s="24">
        <f t="shared" si="45"/>
        <v>71663.199999999997</v>
      </c>
      <c r="N118" s="36"/>
    </row>
    <row r="119" spans="3:15" ht="76.5" x14ac:dyDescent="0.2">
      <c r="C119" s="17" t="s">
        <v>327</v>
      </c>
      <c r="D119" s="18" t="s">
        <v>325</v>
      </c>
      <c r="E119" s="50" t="s">
        <v>284</v>
      </c>
      <c r="F119" s="28"/>
      <c r="G119" s="29">
        <v>0</v>
      </c>
      <c r="H119" s="29">
        <v>0.1</v>
      </c>
      <c r="I119" s="29">
        <v>0</v>
      </c>
      <c r="J119" s="29">
        <v>0</v>
      </c>
      <c r="K119" s="29">
        <v>0</v>
      </c>
      <c r="L119" s="29">
        <v>0</v>
      </c>
    </row>
    <row r="120" spans="3:15" ht="38.25" x14ac:dyDescent="0.2">
      <c r="C120" s="17" t="s">
        <v>328</v>
      </c>
      <c r="D120" s="18" t="s">
        <v>326</v>
      </c>
      <c r="E120" s="43" t="s">
        <v>290</v>
      </c>
      <c r="F120" s="28"/>
      <c r="G120" s="29">
        <v>50</v>
      </c>
      <c r="H120" s="29">
        <v>50.674999999999997</v>
      </c>
      <c r="I120" s="29">
        <v>0</v>
      </c>
      <c r="J120" s="29">
        <v>0</v>
      </c>
      <c r="K120" s="29">
        <v>0</v>
      </c>
      <c r="L120" s="29">
        <v>0</v>
      </c>
    </row>
    <row r="121" spans="3:15" ht="51" x14ac:dyDescent="0.2">
      <c r="C121" s="17" t="s">
        <v>331</v>
      </c>
      <c r="D121" s="18" t="s">
        <v>329</v>
      </c>
      <c r="E121" s="43"/>
      <c r="F121" s="28"/>
      <c r="G121" s="29">
        <f>G122</f>
        <v>500</v>
      </c>
      <c r="H121" s="29">
        <f t="shared" ref="H121:L121" si="46">H122</f>
        <v>717.6</v>
      </c>
      <c r="I121" s="29">
        <f t="shared" si="46"/>
        <v>1200</v>
      </c>
      <c r="J121" s="29">
        <f t="shared" si="46"/>
        <v>1200</v>
      </c>
      <c r="K121" s="29">
        <f t="shared" si="46"/>
        <v>1200</v>
      </c>
      <c r="L121" s="29">
        <f t="shared" si="46"/>
        <v>1200</v>
      </c>
    </row>
    <row r="122" spans="3:15" ht="127.5" x14ac:dyDescent="0.2">
      <c r="C122" s="14" t="s">
        <v>332</v>
      </c>
      <c r="D122" s="16" t="s">
        <v>330</v>
      </c>
      <c r="E122" s="41" t="s">
        <v>292</v>
      </c>
      <c r="F122" s="6"/>
      <c r="G122" s="24">
        <v>500</v>
      </c>
      <c r="H122" s="24">
        <v>717.6</v>
      </c>
      <c r="I122" s="24">
        <v>1200</v>
      </c>
      <c r="J122" s="24">
        <v>1200</v>
      </c>
      <c r="K122" s="24">
        <v>1200</v>
      </c>
      <c r="L122" s="24">
        <v>1200</v>
      </c>
    </row>
    <row r="123" spans="3:15" ht="25.5" x14ac:dyDescent="0.2">
      <c r="C123" s="17" t="s">
        <v>169</v>
      </c>
      <c r="D123" s="18" t="s">
        <v>168</v>
      </c>
      <c r="E123" s="5"/>
      <c r="F123" s="6"/>
      <c r="G123" s="24">
        <f>G124</f>
        <v>95938</v>
      </c>
      <c r="H123" s="24">
        <f t="shared" ref="H123:L123" si="47">H124</f>
        <v>31467.237860000001</v>
      </c>
      <c r="I123" s="24">
        <v>72829.8</v>
      </c>
      <c r="J123" s="24">
        <f t="shared" si="47"/>
        <v>70326.7</v>
      </c>
      <c r="K123" s="24">
        <f t="shared" si="47"/>
        <v>70400.2</v>
      </c>
      <c r="L123" s="24">
        <f t="shared" si="47"/>
        <v>70463.199999999997</v>
      </c>
      <c r="O123" s="36"/>
    </row>
    <row r="124" spans="3:15" ht="165.75" x14ac:dyDescent="0.2">
      <c r="C124" s="14" t="s">
        <v>171</v>
      </c>
      <c r="D124" s="16" t="s">
        <v>170</v>
      </c>
      <c r="E124" s="41" t="s">
        <v>333</v>
      </c>
      <c r="F124" s="6"/>
      <c r="G124" s="24">
        <v>95938</v>
      </c>
      <c r="H124" s="24">
        <v>31467.237860000001</v>
      </c>
      <c r="I124" s="24">
        <v>69636.200000000012</v>
      </c>
      <c r="J124" s="24">
        <v>70326.7</v>
      </c>
      <c r="K124" s="24">
        <v>70400.2</v>
      </c>
      <c r="L124" s="24">
        <v>70463.199999999997</v>
      </c>
    </row>
    <row r="125" spans="3:15" ht="25.5" x14ac:dyDescent="0.2">
      <c r="C125" s="14" t="s">
        <v>173</v>
      </c>
      <c r="D125" s="16" t="s">
        <v>172</v>
      </c>
      <c r="E125" s="6"/>
      <c r="F125" s="6"/>
      <c r="G125" s="24">
        <f>G126+G128</f>
        <v>25765</v>
      </c>
      <c r="H125" s="24">
        <f t="shared" ref="H125:L125" si="48">H126+H128</f>
        <v>19738.469700000001</v>
      </c>
      <c r="I125" s="24">
        <f>I126+I128</f>
        <v>40840.300000000003</v>
      </c>
      <c r="J125" s="24">
        <f t="shared" si="48"/>
        <v>22159.200000000001</v>
      </c>
      <c r="K125" s="24">
        <f t="shared" si="48"/>
        <v>22243.8</v>
      </c>
      <c r="L125" s="24">
        <f t="shared" si="48"/>
        <v>22237.899999999998</v>
      </c>
    </row>
    <row r="126" spans="3:15" ht="38.25" x14ac:dyDescent="0.2">
      <c r="C126" s="17" t="s">
        <v>375</v>
      </c>
      <c r="D126" s="18" t="s">
        <v>334</v>
      </c>
      <c r="E126" s="28"/>
      <c r="F126" s="28"/>
      <c r="G126" s="29">
        <f>G127</f>
        <v>0</v>
      </c>
      <c r="H126" s="29">
        <f t="shared" ref="H126:L126" si="49">H127</f>
        <v>577.58230000000003</v>
      </c>
      <c r="I126" s="29">
        <f t="shared" si="49"/>
        <v>1290.5</v>
      </c>
      <c r="J126" s="29">
        <f t="shared" si="49"/>
        <v>1356.8</v>
      </c>
      <c r="K126" s="29">
        <f t="shared" si="49"/>
        <v>1356.6</v>
      </c>
      <c r="L126" s="29">
        <f t="shared" si="49"/>
        <v>1345.8</v>
      </c>
      <c r="O126" s="36"/>
    </row>
    <row r="127" spans="3:15" ht="51" x14ac:dyDescent="0.2">
      <c r="C127" s="14" t="s">
        <v>376</v>
      </c>
      <c r="D127" s="16" t="s">
        <v>335</v>
      </c>
      <c r="E127" s="20" t="s">
        <v>336</v>
      </c>
      <c r="F127" s="6"/>
      <c r="G127" s="24">
        <v>0</v>
      </c>
      <c r="H127" s="24">
        <v>577.58230000000003</v>
      </c>
      <c r="I127" s="24">
        <v>1290.5</v>
      </c>
      <c r="J127" s="24">
        <v>1356.8</v>
      </c>
      <c r="K127" s="24">
        <v>1356.6</v>
      </c>
      <c r="L127" s="24">
        <v>1345.8</v>
      </c>
    </row>
    <row r="128" spans="3:15" ht="25.5" x14ac:dyDescent="0.2">
      <c r="C128" s="17" t="s">
        <v>175</v>
      </c>
      <c r="D128" s="18" t="s">
        <v>174</v>
      </c>
      <c r="E128" s="6"/>
      <c r="F128" s="6"/>
      <c r="G128" s="24">
        <f t="shared" ref="G128:H128" si="50">G129</f>
        <v>25765</v>
      </c>
      <c r="H128" s="24">
        <f t="shared" si="50"/>
        <v>19160.8874</v>
      </c>
      <c r="I128" s="24">
        <v>39549.800000000003</v>
      </c>
      <c r="J128" s="24">
        <f t="shared" ref="J128:L128" si="51">J129</f>
        <v>20802.400000000001</v>
      </c>
      <c r="K128" s="24">
        <f t="shared" si="51"/>
        <v>20887.2</v>
      </c>
      <c r="L128" s="24">
        <f t="shared" si="51"/>
        <v>20892.099999999999</v>
      </c>
    </row>
    <row r="129" spans="3:13" ht="409.5" x14ac:dyDescent="0.2">
      <c r="C129" s="14" t="s">
        <v>177</v>
      </c>
      <c r="D129" s="16" t="s">
        <v>176</v>
      </c>
      <c r="E129" s="5" t="s">
        <v>337</v>
      </c>
      <c r="F129" s="6"/>
      <c r="G129" s="57">
        <v>25765</v>
      </c>
      <c r="H129" s="57">
        <v>19160.8874</v>
      </c>
      <c r="I129" s="57">
        <f>28115.3+12725</f>
        <v>40840.300000000003</v>
      </c>
      <c r="J129" s="57">
        <v>20802.400000000001</v>
      </c>
      <c r="K129" s="57">
        <v>20887.2</v>
      </c>
      <c r="L129" s="57">
        <v>20892.099999999999</v>
      </c>
    </row>
    <row r="130" spans="3:13" ht="25.5" x14ac:dyDescent="0.2">
      <c r="C130" s="12" t="s">
        <v>179</v>
      </c>
      <c r="D130" s="13" t="s">
        <v>178</v>
      </c>
      <c r="E130" s="6"/>
      <c r="F130" s="6"/>
      <c r="G130" s="24">
        <f>G131+G136</f>
        <v>8700</v>
      </c>
      <c r="H130" s="24">
        <f t="shared" ref="H130:L130" si="52">H131+H136</f>
        <v>2150.3634199999997</v>
      </c>
      <c r="I130" s="24">
        <f t="shared" si="52"/>
        <v>16765.400000000001</v>
      </c>
      <c r="J130" s="24">
        <f t="shared" si="52"/>
        <v>29840.400000000001</v>
      </c>
      <c r="K130" s="24">
        <f t="shared" si="52"/>
        <v>4386.6000000000004</v>
      </c>
      <c r="L130" s="24">
        <f t="shared" si="52"/>
        <v>113.3</v>
      </c>
    </row>
    <row r="131" spans="3:13" ht="102" x14ac:dyDescent="0.2">
      <c r="C131" s="14" t="s">
        <v>181</v>
      </c>
      <c r="D131" s="15" t="s">
        <v>180</v>
      </c>
      <c r="E131" s="6"/>
      <c r="F131" s="6"/>
      <c r="G131" s="24">
        <f t="shared" ref="G131:L131" si="53">G132+G133</f>
        <v>8200</v>
      </c>
      <c r="H131" s="24">
        <f t="shared" si="53"/>
        <v>1926.8981099999999</v>
      </c>
      <c r="I131" s="24">
        <f t="shared" si="53"/>
        <v>16541.900000000001</v>
      </c>
      <c r="J131" s="24">
        <f t="shared" si="53"/>
        <v>14296.4</v>
      </c>
      <c r="K131" s="24">
        <f t="shared" si="53"/>
        <v>4386.6000000000004</v>
      </c>
      <c r="L131" s="24">
        <f t="shared" si="53"/>
        <v>113.3</v>
      </c>
    </row>
    <row r="132" spans="3:13" ht="140.25" x14ac:dyDescent="0.2">
      <c r="C132" s="14" t="s">
        <v>339</v>
      </c>
      <c r="D132" s="15" t="s">
        <v>338</v>
      </c>
      <c r="E132" s="6"/>
      <c r="F132" s="6"/>
      <c r="G132" s="24">
        <f>G135</f>
        <v>8100</v>
      </c>
      <c r="H132" s="24">
        <f t="shared" ref="H132:L132" si="54">H135</f>
        <v>1858.8435099999999</v>
      </c>
      <c r="I132" s="24">
        <f t="shared" si="54"/>
        <v>16400</v>
      </c>
      <c r="J132" s="24">
        <f t="shared" si="54"/>
        <v>14183.1</v>
      </c>
      <c r="K132" s="24">
        <f t="shared" si="54"/>
        <v>4273.3</v>
      </c>
      <c r="L132" s="24">
        <f t="shared" si="54"/>
        <v>0</v>
      </c>
    </row>
    <row r="133" spans="3:13" ht="140.25" x14ac:dyDescent="0.2">
      <c r="C133" s="17" t="s">
        <v>377</v>
      </c>
      <c r="D133" s="15" t="s">
        <v>182</v>
      </c>
      <c r="E133" s="6"/>
      <c r="F133" s="6"/>
      <c r="G133" s="24">
        <f>G134</f>
        <v>100</v>
      </c>
      <c r="H133" s="24">
        <f t="shared" ref="H133:L133" si="55">H134</f>
        <v>68.054599999999994</v>
      </c>
      <c r="I133" s="24">
        <f t="shared" si="55"/>
        <v>141.9</v>
      </c>
      <c r="J133" s="24">
        <f t="shared" si="55"/>
        <v>113.3</v>
      </c>
      <c r="K133" s="24">
        <f t="shared" si="55"/>
        <v>113.3</v>
      </c>
      <c r="L133" s="24">
        <f t="shared" si="55"/>
        <v>113.3</v>
      </c>
    </row>
    <row r="134" spans="3:13" ht="127.5" x14ac:dyDescent="0.2">
      <c r="C134" s="17" t="s">
        <v>378</v>
      </c>
      <c r="D134" s="15" t="s">
        <v>341</v>
      </c>
      <c r="E134" s="6"/>
      <c r="F134" s="6"/>
      <c r="G134" s="24">
        <v>100</v>
      </c>
      <c r="H134" s="24">
        <v>68.054599999999994</v>
      </c>
      <c r="I134" s="24">
        <v>141.9</v>
      </c>
      <c r="J134" s="24">
        <v>113.3</v>
      </c>
      <c r="K134" s="24">
        <v>113.3</v>
      </c>
      <c r="L134" s="24">
        <v>113.3</v>
      </c>
    </row>
    <row r="135" spans="3:13" ht="140.25" x14ac:dyDescent="0.2">
      <c r="C135" s="14" t="s">
        <v>340</v>
      </c>
      <c r="D135" s="15" t="s">
        <v>183</v>
      </c>
      <c r="E135" s="6"/>
      <c r="F135" s="6"/>
      <c r="G135" s="24">
        <v>8100</v>
      </c>
      <c r="H135" s="24">
        <v>1858.8435099999999</v>
      </c>
      <c r="I135" s="24">
        <v>16400</v>
      </c>
      <c r="J135" s="24">
        <v>14183.1</v>
      </c>
      <c r="K135" s="24">
        <v>4273.3</v>
      </c>
      <c r="L135" s="24">
        <v>0</v>
      </c>
    </row>
    <row r="136" spans="3:13" ht="38.25" x14ac:dyDescent="0.2">
      <c r="C136" s="14" t="s">
        <v>185</v>
      </c>
      <c r="D136" s="16" t="s">
        <v>184</v>
      </c>
      <c r="E136" s="6"/>
      <c r="F136" s="6"/>
      <c r="G136" s="24">
        <f>G137</f>
        <v>500</v>
      </c>
      <c r="H136" s="24">
        <f t="shared" ref="H136:L136" si="56">H137</f>
        <v>223.46530999999999</v>
      </c>
      <c r="I136" s="24">
        <f t="shared" si="56"/>
        <v>223.5</v>
      </c>
      <c r="J136" s="24">
        <f t="shared" si="56"/>
        <v>15544</v>
      </c>
      <c r="K136" s="24">
        <f t="shared" si="56"/>
        <v>0</v>
      </c>
      <c r="L136" s="24">
        <f t="shared" si="56"/>
        <v>0</v>
      </c>
    </row>
    <row r="137" spans="3:13" ht="76.5" x14ac:dyDescent="0.2">
      <c r="C137" s="17" t="s">
        <v>187</v>
      </c>
      <c r="D137" s="18" t="s">
        <v>186</v>
      </c>
      <c r="E137" s="6"/>
      <c r="F137" s="6"/>
      <c r="G137" s="24">
        <f>G138</f>
        <v>500</v>
      </c>
      <c r="H137" s="24">
        <f>H138</f>
        <v>223.46530999999999</v>
      </c>
      <c r="I137" s="24">
        <f t="shared" ref="I137:L137" si="57">I138</f>
        <v>223.5</v>
      </c>
      <c r="J137" s="24">
        <f t="shared" si="57"/>
        <v>15544</v>
      </c>
      <c r="K137" s="24">
        <f t="shared" si="57"/>
        <v>0</v>
      </c>
      <c r="L137" s="24">
        <f t="shared" si="57"/>
        <v>0</v>
      </c>
    </row>
    <row r="138" spans="3:13" ht="76.5" x14ac:dyDescent="0.2">
      <c r="C138" s="14" t="s">
        <v>189</v>
      </c>
      <c r="D138" s="16" t="s">
        <v>188</v>
      </c>
      <c r="E138" s="6"/>
      <c r="F138" s="6"/>
      <c r="G138" s="24">
        <v>500</v>
      </c>
      <c r="H138" s="24">
        <v>223.46530999999999</v>
      </c>
      <c r="I138" s="24">
        <v>223.5</v>
      </c>
      <c r="J138" s="24">
        <v>15544</v>
      </c>
      <c r="K138" s="24">
        <v>0</v>
      </c>
      <c r="L138" s="24">
        <v>0</v>
      </c>
    </row>
    <row r="139" spans="3:13" ht="25.5" x14ac:dyDescent="0.2">
      <c r="C139" s="12" t="s">
        <v>191</v>
      </c>
      <c r="D139" s="13" t="s">
        <v>190</v>
      </c>
      <c r="E139" s="26"/>
      <c r="F139" s="26"/>
      <c r="G139" s="25">
        <f>G140+G142+G144+G146+G148+G152+G157+G158+G159+G163+G165+G167+G169</f>
        <v>502720.60000000003</v>
      </c>
      <c r="H139" s="25">
        <f t="shared" ref="H139:L139" si="58">H140+H142+H144+H146+H148+H152+H157+H158+H159+H163+H165+H167+H169</f>
        <v>253523.77454000001</v>
      </c>
      <c r="I139" s="25">
        <f t="shared" si="58"/>
        <v>472983.99803184002</v>
      </c>
      <c r="J139" s="25">
        <f t="shared" si="58"/>
        <v>502323.15232339228</v>
      </c>
      <c r="K139" s="25">
        <f t="shared" si="58"/>
        <v>618068.31132508034</v>
      </c>
      <c r="L139" s="25">
        <f t="shared" si="58"/>
        <v>647913.13500230969</v>
      </c>
    </row>
    <row r="140" spans="3:13" ht="114.75" x14ac:dyDescent="0.2">
      <c r="C140" s="17" t="s">
        <v>193</v>
      </c>
      <c r="D140" s="19" t="s">
        <v>192</v>
      </c>
      <c r="E140" s="6"/>
      <c r="F140" s="6"/>
      <c r="G140" s="24">
        <f>G141</f>
        <v>371.5</v>
      </c>
      <c r="H140" s="24">
        <f t="shared" ref="H140:L140" si="59">H141</f>
        <v>61.624220000000001</v>
      </c>
      <c r="I140" s="24">
        <f t="shared" si="59"/>
        <v>161</v>
      </c>
      <c r="J140" s="24">
        <f t="shared" si="59"/>
        <v>168.8</v>
      </c>
      <c r="K140" s="24">
        <f t="shared" si="59"/>
        <v>176.4</v>
      </c>
      <c r="L140" s="24">
        <f t="shared" si="59"/>
        <v>183.9</v>
      </c>
    </row>
    <row r="141" spans="3:13" ht="114.75" x14ac:dyDescent="0.2">
      <c r="C141" s="14" t="s">
        <v>343</v>
      </c>
      <c r="D141" s="15" t="s">
        <v>194</v>
      </c>
      <c r="E141" s="41" t="s">
        <v>342</v>
      </c>
      <c r="F141" s="6"/>
      <c r="G141" s="24">
        <v>371.5</v>
      </c>
      <c r="H141" s="24">
        <v>61.624220000000001</v>
      </c>
      <c r="I141" s="24">
        <v>161</v>
      </c>
      <c r="J141" s="24">
        <v>168.8</v>
      </c>
      <c r="K141" s="24">
        <v>176.4</v>
      </c>
      <c r="L141" s="24">
        <v>183.9</v>
      </c>
    </row>
    <row r="142" spans="3:13" ht="38.25" x14ac:dyDescent="0.2">
      <c r="C142" s="17" t="s">
        <v>196</v>
      </c>
      <c r="D142" s="18" t="s">
        <v>195</v>
      </c>
      <c r="E142" s="6"/>
      <c r="F142" s="6"/>
      <c r="G142" s="24">
        <f>G143</f>
        <v>7.9</v>
      </c>
      <c r="H142" s="24">
        <f t="shared" ref="H142:L142" si="60">H143</f>
        <v>0</v>
      </c>
      <c r="I142" s="24">
        <f t="shared" si="60"/>
        <v>0</v>
      </c>
      <c r="J142" s="24">
        <f t="shared" si="60"/>
        <v>0</v>
      </c>
      <c r="K142" s="24">
        <f t="shared" si="60"/>
        <v>0</v>
      </c>
      <c r="L142" s="24">
        <f t="shared" si="60"/>
        <v>0</v>
      </c>
    </row>
    <row r="143" spans="3:13" ht="63.75" x14ac:dyDescent="0.2">
      <c r="C143" s="14" t="s">
        <v>344</v>
      </c>
      <c r="D143" s="16" t="s">
        <v>197</v>
      </c>
      <c r="E143" s="6"/>
      <c r="F143" s="6"/>
      <c r="G143" s="24">
        <v>7.9</v>
      </c>
      <c r="H143" s="24">
        <v>0</v>
      </c>
      <c r="I143" s="24">
        <v>0</v>
      </c>
      <c r="J143" s="24">
        <v>0</v>
      </c>
      <c r="K143" s="24">
        <v>0</v>
      </c>
      <c r="L143" s="24">
        <v>0</v>
      </c>
      <c r="M143" s="66"/>
    </row>
    <row r="144" spans="3:13" ht="51" x14ac:dyDescent="0.2">
      <c r="C144" s="17" t="s">
        <v>199</v>
      </c>
      <c r="D144" s="18" t="s">
        <v>198</v>
      </c>
      <c r="E144" s="6"/>
      <c r="F144" s="6"/>
      <c r="G144" s="24">
        <f>G145</f>
        <v>31.5</v>
      </c>
      <c r="H144" s="24">
        <f t="shared" ref="H144:L144" si="61">H145</f>
        <v>0</v>
      </c>
      <c r="I144" s="24">
        <f t="shared" si="61"/>
        <v>0</v>
      </c>
      <c r="J144" s="24">
        <f t="shared" si="61"/>
        <v>0</v>
      </c>
      <c r="K144" s="24">
        <f t="shared" si="61"/>
        <v>0</v>
      </c>
      <c r="L144" s="24">
        <f t="shared" si="61"/>
        <v>0</v>
      </c>
    </row>
    <row r="145" spans="3:18" ht="51" x14ac:dyDescent="0.2">
      <c r="C145" s="14" t="s">
        <v>345</v>
      </c>
      <c r="D145" s="16" t="s">
        <v>200</v>
      </c>
      <c r="E145" s="6"/>
      <c r="F145" s="6"/>
      <c r="G145" s="24">
        <v>31.5</v>
      </c>
      <c r="H145" s="24">
        <v>0</v>
      </c>
      <c r="I145" s="24">
        <v>0</v>
      </c>
      <c r="J145" s="24">
        <v>0</v>
      </c>
      <c r="K145" s="24">
        <v>0</v>
      </c>
      <c r="L145" s="24">
        <v>0</v>
      </c>
    </row>
    <row r="146" spans="3:18" ht="51" x14ac:dyDescent="0.2">
      <c r="C146" s="17" t="s">
        <v>366</v>
      </c>
      <c r="D146" s="18" t="s">
        <v>346</v>
      </c>
      <c r="E146" s="6"/>
      <c r="F146" s="6"/>
      <c r="G146" s="24">
        <f>G147</f>
        <v>0</v>
      </c>
      <c r="H146" s="24">
        <f t="shared" ref="H146:L146" si="62">H147</f>
        <v>20</v>
      </c>
      <c r="I146" s="24">
        <f t="shared" si="62"/>
        <v>20</v>
      </c>
      <c r="J146" s="24">
        <f t="shared" si="62"/>
        <v>0</v>
      </c>
      <c r="K146" s="24">
        <f t="shared" si="62"/>
        <v>0</v>
      </c>
      <c r="L146" s="24">
        <f t="shared" si="62"/>
        <v>0</v>
      </c>
    </row>
    <row r="147" spans="3:18" ht="76.5" x14ac:dyDescent="0.2">
      <c r="C147" s="14" t="s">
        <v>367</v>
      </c>
      <c r="D147" s="16" t="s">
        <v>347</v>
      </c>
      <c r="E147" s="6"/>
      <c r="F147" s="6"/>
      <c r="G147" s="24">
        <v>0</v>
      </c>
      <c r="H147" s="24">
        <v>20</v>
      </c>
      <c r="I147" s="24">
        <v>20</v>
      </c>
      <c r="J147" s="24">
        <v>0</v>
      </c>
      <c r="K147" s="24">
        <v>0</v>
      </c>
      <c r="L147" s="24">
        <v>0</v>
      </c>
    </row>
    <row r="148" spans="3:18" ht="46.5" customHeight="1" x14ac:dyDescent="0.2">
      <c r="C148" s="17" t="s">
        <v>368</v>
      </c>
      <c r="D148" s="18" t="s">
        <v>348</v>
      </c>
      <c r="E148" s="28"/>
      <c r="F148" s="28"/>
      <c r="G148" s="29">
        <f>G149</f>
        <v>80.5</v>
      </c>
      <c r="H148" s="29">
        <f>H149</f>
        <v>13.388689999999999</v>
      </c>
      <c r="I148" s="29">
        <f t="shared" ref="I148:L148" si="63">I149</f>
        <v>24.6</v>
      </c>
      <c r="J148" s="29">
        <f t="shared" si="63"/>
        <v>25.8</v>
      </c>
      <c r="K148" s="29">
        <f t="shared" si="63"/>
        <v>26.9</v>
      </c>
      <c r="L148" s="29">
        <f t="shared" si="63"/>
        <v>28.1</v>
      </c>
    </row>
    <row r="149" spans="3:18" ht="63.75" x14ac:dyDescent="0.2">
      <c r="C149" s="14" t="s">
        <v>369</v>
      </c>
      <c r="D149" s="16" t="s">
        <v>349</v>
      </c>
      <c r="E149" s="6"/>
      <c r="F149" s="6"/>
      <c r="G149" s="24">
        <f>G150</f>
        <v>80.5</v>
      </c>
      <c r="H149" s="24">
        <f>H150+H151</f>
        <v>13.388689999999999</v>
      </c>
      <c r="I149" s="24">
        <f t="shared" ref="I149:L149" si="64">I150+I151</f>
        <v>24.6</v>
      </c>
      <c r="J149" s="24">
        <f t="shared" si="64"/>
        <v>25.8</v>
      </c>
      <c r="K149" s="24">
        <f t="shared" si="64"/>
        <v>26.9</v>
      </c>
      <c r="L149" s="24">
        <f t="shared" si="64"/>
        <v>28.1</v>
      </c>
    </row>
    <row r="150" spans="3:18" ht="89.25" x14ac:dyDescent="0.2">
      <c r="C150" s="14" t="s">
        <v>372</v>
      </c>
      <c r="D150" s="16" t="s">
        <v>350</v>
      </c>
      <c r="E150" s="53" t="s">
        <v>305</v>
      </c>
      <c r="F150" s="6"/>
      <c r="G150" s="24">
        <v>80.5</v>
      </c>
      <c r="H150" s="24">
        <v>13.273529999999999</v>
      </c>
      <c r="I150" s="24">
        <v>24.6</v>
      </c>
      <c r="J150" s="24">
        <v>25.8</v>
      </c>
      <c r="K150" s="24">
        <v>26.9</v>
      </c>
      <c r="L150" s="24">
        <v>28.1</v>
      </c>
    </row>
    <row r="151" spans="3:18" ht="63.75" x14ac:dyDescent="0.2">
      <c r="C151" s="14" t="s">
        <v>371</v>
      </c>
      <c r="D151" s="16" t="s">
        <v>351</v>
      </c>
      <c r="E151" s="6"/>
      <c r="F151" s="6"/>
      <c r="G151" s="24">
        <v>0</v>
      </c>
      <c r="H151" s="24">
        <v>0.11516</v>
      </c>
      <c r="I151" s="24">
        <v>0</v>
      </c>
      <c r="J151" s="24">
        <v>0</v>
      </c>
      <c r="K151" s="24">
        <v>0</v>
      </c>
      <c r="L151" s="24">
        <v>0</v>
      </c>
    </row>
    <row r="152" spans="3:18" ht="153" x14ac:dyDescent="0.2">
      <c r="C152" s="14" t="s">
        <v>370</v>
      </c>
      <c r="D152" s="16" t="s">
        <v>352</v>
      </c>
      <c r="E152" s="6"/>
      <c r="F152" s="6"/>
      <c r="G152" s="24">
        <f>G153+G154</f>
        <v>5626.2999999999993</v>
      </c>
      <c r="H152" s="24">
        <f t="shared" ref="H152:L152" si="65">H153+H154</f>
        <v>1314.1508699999999</v>
      </c>
      <c r="I152" s="24">
        <f t="shared" si="65"/>
        <v>2778.2</v>
      </c>
      <c r="J152" s="24">
        <f t="shared" si="65"/>
        <v>2251.8000000000002</v>
      </c>
      <c r="K152" s="24">
        <f t="shared" si="65"/>
        <v>2185.1999999999998</v>
      </c>
      <c r="L152" s="24">
        <f t="shared" si="65"/>
        <v>2185.1999999999998</v>
      </c>
    </row>
    <row r="153" spans="3:18" ht="25.5" x14ac:dyDescent="0.2">
      <c r="C153" s="14" t="s">
        <v>364</v>
      </c>
      <c r="D153" s="16" t="s">
        <v>353</v>
      </c>
      <c r="E153" s="41" t="s">
        <v>292</v>
      </c>
      <c r="F153" s="6"/>
      <c r="G153" s="24">
        <v>39.4</v>
      </c>
      <c r="H153" s="24">
        <v>0</v>
      </c>
      <c r="I153" s="24">
        <v>0</v>
      </c>
      <c r="J153" s="24">
        <v>0</v>
      </c>
      <c r="K153" s="24">
        <v>0</v>
      </c>
      <c r="L153" s="24">
        <v>0</v>
      </c>
    </row>
    <row r="154" spans="3:18" ht="25.5" x14ac:dyDescent="0.2">
      <c r="C154" s="17" t="s">
        <v>365</v>
      </c>
      <c r="D154" s="18" t="s">
        <v>354</v>
      </c>
      <c r="E154" s="28"/>
      <c r="F154" s="28"/>
      <c r="G154" s="29">
        <v>5586.9</v>
      </c>
      <c r="H154" s="29">
        <v>1314.1508699999999</v>
      </c>
      <c r="I154" s="29">
        <v>2778.2</v>
      </c>
      <c r="J154" s="29">
        <v>2251.8000000000002</v>
      </c>
      <c r="K154" s="29">
        <v>2185.1999999999998</v>
      </c>
      <c r="L154" s="29">
        <v>2185.1999999999998</v>
      </c>
    </row>
    <row r="155" spans="3:18" ht="63.75" x14ac:dyDescent="0.2">
      <c r="C155" s="14" t="s">
        <v>362</v>
      </c>
      <c r="D155" s="16" t="s">
        <v>355</v>
      </c>
      <c r="E155" s="41" t="s">
        <v>292</v>
      </c>
      <c r="F155" s="6"/>
      <c r="G155" s="24"/>
      <c r="H155" s="24">
        <v>297.5</v>
      </c>
      <c r="I155" s="24">
        <v>628.934256231934</v>
      </c>
      <c r="J155" s="24">
        <v>509.76681239042199</v>
      </c>
      <c r="K155" s="24">
        <v>494.68977637248003</v>
      </c>
      <c r="L155" s="24">
        <v>494.68977637248003</v>
      </c>
    </row>
    <row r="156" spans="3:18" ht="102" x14ac:dyDescent="0.2">
      <c r="C156" s="14" t="s">
        <v>363</v>
      </c>
      <c r="D156" s="16" t="s">
        <v>356</v>
      </c>
      <c r="E156" s="41" t="s">
        <v>292</v>
      </c>
      <c r="F156" s="6"/>
      <c r="G156" s="24"/>
      <c r="H156" s="24">
        <v>1016.6508700000001</v>
      </c>
      <c r="I156" s="24">
        <v>2149.2657437680655</v>
      </c>
      <c r="J156" s="24">
        <v>1742.0331876095781</v>
      </c>
      <c r="K156" s="24">
        <v>1690.51022362752</v>
      </c>
      <c r="L156" s="24">
        <v>1690.51022362752</v>
      </c>
      <c r="N156" s="36"/>
      <c r="O156" s="36"/>
      <c r="P156" s="36"/>
      <c r="Q156" s="36"/>
      <c r="R156" s="36"/>
    </row>
    <row r="157" spans="3:18" ht="38.25" x14ac:dyDescent="0.2">
      <c r="C157" s="14" t="s">
        <v>361</v>
      </c>
      <c r="D157" s="16" t="s">
        <v>201</v>
      </c>
      <c r="E157" s="5" t="s">
        <v>360</v>
      </c>
      <c r="F157" s="6"/>
      <c r="G157" s="24">
        <v>671.9</v>
      </c>
      <c r="H157" s="24">
        <v>273.2</v>
      </c>
      <c r="I157" s="24">
        <v>756.10553573209449</v>
      </c>
      <c r="J157" s="24">
        <v>792.39860144723502</v>
      </c>
      <c r="K157" s="24">
        <v>828.05653851236059</v>
      </c>
      <c r="L157" s="24">
        <v>863.66296966839207</v>
      </c>
    </row>
    <row r="158" spans="3:18" ht="63.75" x14ac:dyDescent="0.2">
      <c r="C158" s="14" t="s">
        <v>358</v>
      </c>
      <c r="D158" s="16" t="s">
        <v>202</v>
      </c>
      <c r="E158" s="65" t="s">
        <v>359</v>
      </c>
      <c r="F158" s="6"/>
      <c r="G158" s="24">
        <v>7844</v>
      </c>
      <c r="H158" s="24">
        <v>2247.6278200000002</v>
      </c>
      <c r="I158" s="24">
        <v>3141.8191208005346</v>
      </c>
      <c r="J158" s="24">
        <v>3292.6264385989598</v>
      </c>
      <c r="K158" s="24">
        <v>3440.7946283359129</v>
      </c>
      <c r="L158" s="24">
        <v>3588.7487973543571</v>
      </c>
    </row>
    <row r="159" spans="3:18" ht="38.25" x14ac:dyDescent="0.2">
      <c r="C159" s="14" t="s">
        <v>204</v>
      </c>
      <c r="D159" s="16" t="s">
        <v>203</v>
      </c>
      <c r="E159" s="6"/>
      <c r="F159" s="6"/>
      <c r="G159" s="24">
        <f>G160+G162</f>
        <v>395494.9</v>
      </c>
      <c r="H159" s="24">
        <f t="shared" ref="H159:L159" si="66">H160+H162</f>
        <v>144525.17799</v>
      </c>
      <c r="I159" s="24">
        <f t="shared" si="66"/>
        <v>291694.14063497534</v>
      </c>
      <c r="J159" s="24">
        <f t="shared" si="66"/>
        <v>304190.42657147802</v>
      </c>
      <c r="K159" s="24">
        <f t="shared" si="66"/>
        <v>392390.15391433</v>
      </c>
      <c r="L159" s="24">
        <f t="shared" si="66"/>
        <v>410230.02852289699</v>
      </c>
    </row>
    <row r="160" spans="3:18" ht="63.75" x14ac:dyDescent="0.2">
      <c r="C160" s="17" t="s">
        <v>206</v>
      </c>
      <c r="D160" s="18" t="s">
        <v>205</v>
      </c>
      <c r="E160" s="6"/>
      <c r="F160" s="6"/>
      <c r="G160" s="24">
        <f>G161</f>
        <v>3618.2</v>
      </c>
      <c r="H160" s="24">
        <f t="shared" ref="H160:L160" si="67">H161</f>
        <v>9749.3779900000009</v>
      </c>
      <c r="I160" s="24">
        <f t="shared" si="67"/>
        <v>15000</v>
      </c>
      <c r="J160" s="24">
        <f t="shared" si="67"/>
        <v>36178.400000000001</v>
      </c>
      <c r="K160" s="24">
        <f t="shared" si="67"/>
        <v>104701.8</v>
      </c>
      <c r="L160" s="24">
        <f t="shared" si="67"/>
        <v>99701.8</v>
      </c>
    </row>
    <row r="161" spans="3:12" ht="76.5" x14ac:dyDescent="0.2">
      <c r="C161" s="14" t="s">
        <v>208</v>
      </c>
      <c r="D161" s="16" t="s">
        <v>207</v>
      </c>
      <c r="E161" s="41" t="s">
        <v>277</v>
      </c>
      <c r="F161" s="6"/>
      <c r="G161" s="24">
        <v>3618.2</v>
      </c>
      <c r="H161" s="24">
        <v>9749.3779900000009</v>
      </c>
      <c r="I161" s="24">
        <v>15000</v>
      </c>
      <c r="J161" s="24">
        <v>36178.400000000001</v>
      </c>
      <c r="K161" s="24">
        <v>104701.8</v>
      </c>
      <c r="L161" s="24">
        <v>99701.8</v>
      </c>
    </row>
    <row r="162" spans="3:12" ht="51" x14ac:dyDescent="0.2">
      <c r="C162" s="14" t="s">
        <v>276</v>
      </c>
      <c r="D162" s="16" t="s">
        <v>209</v>
      </c>
      <c r="E162" s="5" t="s">
        <v>275</v>
      </c>
      <c r="F162" s="6"/>
      <c r="G162" s="24">
        <v>391876.7</v>
      </c>
      <c r="H162" s="24">
        <v>134775.79999999999</v>
      </c>
      <c r="I162" s="24">
        <v>276694.14063497534</v>
      </c>
      <c r="J162" s="24">
        <v>268012.026571478</v>
      </c>
      <c r="K162" s="24">
        <v>287688.35391433001</v>
      </c>
      <c r="L162" s="24">
        <v>310528.228522897</v>
      </c>
    </row>
    <row r="163" spans="3:12" ht="51" x14ac:dyDescent="0.2">
      <c r="C163" s="17" t="s">
        <v>211</v>
      </c>
      <c r="D163" s="18" t="s">
        <v>210</v>
      </c>
      <c r="E163" s="6"/>
      <c r="F163" s="6"/>
      <c r="G163" s="24">
        <f>G164</f>
        <v>799.2</v>
      </c>
      <c r="H163" s="24">
        <f t="shared" ref="H163:L163" si="68">H164</f>
        <v>108.5</v>
      </c>
      <c r="I163" s="24">
        <f t="shared" si="68"/>
        <v>133.80000000000001</v>
      </c>
      <c r="J163" s="24">
        <f t="shared" si="68"/>
        <v>223.4</v>
      </c>
      <c r="K163" s="24">
        <f t="shared" si="68"/>
        <v>223.4</v>
      </c>
      <c r="L163" s="24">
        <f t="shared" si="68"/>
        <v>223.4</v>
      </c>
    </row>
    <row r="164" spans="3:12" ht="76.5" x14ac:dyDescent="0.2">
      <c r="C164" s="14" t="s">
        <v>374</v>
      </c>
      <c r="D164" s="16" t="s">
        <v>212</v>
      </c>
      <c r="E164" s="41" t="s">
        <v>274</v>
      </c>
      <c r="F164" s="6"/>
      <c r="G164" s="24">
        <v>799.2</v>
      </c>
      <c r="H164" s="24">
        <v>108.5</v>
      </c>
      <c r="I164" s="24">
        <v>133.80000000000001</v>
      </c>
      <c r="J164" s="24">
        <v>223.4</v>
      </c>
      <c r="K164" s="24">
        <v>223.4</v>
      </c>
      <c r="L164" s="24">
        <v>223.4</v>
      </c>
    </row>
    <row r="165" spans="3:12" ht="89.25" x14ac:dyDescent="0.2">
      <c r="C165" s="17" t="s">
        <v>214</v>
      </c>
      <c r="D165" s="18" t="s">
        <v>213</v>
      </c>
      <c r="E165" s="6"/>
      <c r="F165" s="6"/>
      <c r="G165" s="29">
        <f>G166</f>
        <v>2248.4</v>
      </c>
      <c r="H165" s="29">
        <f t="shared" ref="H165:L165" si="69">H166</f>
        <v>1046.4049500000001</v>
      </c>
      <c r="I165" s="29">
        <f t="shared" si="69"/>
        <v>2183.6048703320798</v>
      </c>
      <c r="J165" s="29">
        <f t="shared" si="69"/>
        <v>2288.4179041080197</v>
      </c>
      <c r="K165" s="29">
        <f t="shared" si="69"/>
        <v>2391.3967097928808</v>
      </c>
      <c r="L165" s="29">
        <f t="shared" si="69"/>
        <v>2494.2267683139744</v>
      </c>
    </row>
    <row r="166" spans="3:12" ht="140.25" x14ac:dyDescent="0.2">
      <c r="C166" s="14" t="s">
        <v>216</v>
      </c>
      <c r="D166" s="16" t="s">
        <v>215</v>
      </c>
      <c r="E166" s="5" t="s">
        <v>273</v>
      </c>
      <c r="F166" s="6"/>
      <c r="G166" s="24">
        <v>2248.4</v>
      </c>
      <c r="H166" s="24">
        <v>1046.4049500000001</v>
      </c>
      <c r="I166" s="24">
        <v>2183.6048703320798</v>
      </c>
      <c r="J166" s="24">
        <v>2288.4179041080197</v>
      </c>
      <c r="K166" s="24">
        <v>2391.3967097928808</v>
      </c>
      <c r="L166" s="24">
        <v>2494.2267683139744</v>
      </c>
    </row>
    <row r="167" spans="3:12" ht="76.5" x14ac:dyDescent="0.2">
      <c r="C167" s="17" t="s">
        <v>218</v>
      </c>
      <c r="D167" s="18" t="s">
        <v>217</v>
      </c>
      <c r="E167" s="6"/>
      <c r="F167" s="6"/>
      <c r="G167" s="29">
        <f>G168</f>
        <v>34930</v>
      </c>
      <c r="H167" s="29">
        <f t="shared" ref="H167:L167" si="70">H168</f>
        <v>66023</v>
      </c>
      <c r="I167" s="29">
        <f t="shared" si="70"/>
        <v>74200</v>
      </c>
      <c r="J167" s="29">
        <f t="shared" si="70"/>
        <v>86500</v>
      </c>
      <c r="K167" s="29">
        <f t="shared" si="70"/>
        <v>109200</v>
      </c>
      <c r="L167" s="29">
        <f t="shared" si="70"/>
        <v>116300</v>
      </c>
    </row>
    <row r="168" spans="3:12" ht="102" x14ac:dyDescent="0.2">
      <c r="C168" s="14" t="s">
        <v>373</v>
      </c>
      <c r="D168" s="15" t="s">
        <v>219</v>
      </c>
      <c r="E168" s="58" t="s">
        <v>271</v>
      </c>
      <c r="F168" s="6"/>
      <c r="G168" s="24">
        <v>34930</v>
      </c>
      <c r="H168" s="24">
        <v>66023</v>
      </c>
      <c r="I168" s="24">
        <v>74200</v>
      </c>
      <c r="J168" s="24">
        <v>86500</v>
      </c>
      <c r="K168" s="24">
        <v>109200</v>
      </c>
      <c r="L168" s="24">
        <v>116300</v>
      </c>
    </row>
    <row r="169" spans="3:12" ht="38.25" x14ac:dyDescent="0.2">
      <c r="C169" s="17" t="s">
        <v>221</v>
      </c>
      <c r="D169" s="18" t="s">
        <v>220</v>
      </c>
      <c r="E169" s="6"/>
      <c r="F169" s="6"/>
      <c r="G169" s="24">
        <f>G170</f>
        <v>54614.5</v>
      </c>
      <c r="H169" s="24">
        <f t="shared" ref="H169:L169" si="71">H170</f>
        <v>37890.699999999997</v>
      </c>
      <c r="I169" s="24">
        <f t="shared" si="71"/>
        <v>97890.727870000002</v>
      </c>
      <c r="J169" s="24">
        <f t="shared" si="71"/>
        <v>102589.48280776</v>
      </c>
      <c r="K169" s="24">
        <f t="shared" si="71"/>
        <v>107206.00953410919</v>
      </c>
      <c r="L169" s="24">
        <f t="shared" si="71"/>
        <v>111815.8679440759</v>
      </c>
    </row>
    <row r="170" spans="3:12" ht="298.5" customHeight="1" x14ac:dyDescent="0.2">
      <c r="C170" s="14" t="s">
        <v>223</v>
      </c>
      <c r="D170" s="16" t="s">
        <v>222</v>
      </c>
      <c r="E170" s="5" t="s">
        <v>272</v>
      </c>
      <c r="F170" s="6"/>
      <c r="G170" s="24">
        <v>54614.5</v>
      </c>
      <c r="H170" s="24">
        <v>37890.699999999997</v>
      </c>
      <c r="I170" s="24">
        <v>97890.727870000002</v>
      </c>
      <c r="J170" s="24">
        <v>102589.48280776</v>
      </c>
      <c r="K170" s="24">
        <v>107206.00953410919</v>
      </c>
      <c r="L170" s="24">
        <v>111815.8679440759</v>
      </c>
    </row>
    <row r="171" spans="3:12" ht="25.5" x14ac:dyDescent="0.2">
      <c r="C171" s="12" t="s">
        <v>225</v>
      </c>
      <c r="D171" s="13" t="s">
        <v>224</v>
      </c>
      <c r="E171" s="6"/>
      <c r="F171" s="6"/>
      <c r="G171" s="24">
        <f>G172+G174</f>
        <v>8079.4</v>
      </c>
      <c r="H171" s="24">
        <f t="shared" ref="H171:L171" si="72">H172+H174</f>
        <v>1318.7</v>
      </c>
      <c r="I171" s="24">
        <f t="shared" si="72"/>
        <v>8084.7</v>
      </c>
      <c r="J171" s="24">
        <f t="shared" si="72"/>
        <v>8832</v>
      </c>
      <c r="K171" s="24">
        <f t="shared" si="72"/>
        <v>8832</v>
      </c>
      <c r="L171" s="24">
        <f t="shared" si="72"/>
        <v>8832</v>
      </c>
    </row>
    <row r="172" spans="3:12" ht="25.5" x14ac:dyDescent="0.2">
      <c r="C172" s="12" t="s">
        <v>268</v>
      </c>
      <c r="D172" s="18" t="s">
        <v>267</v>
      </c>
      <c r="E172" s="6"/>
      <c r="F172" s="6"/>
      <c r="G172" s="29">
        <f>G173</f>
        <v>0</v>
      </c>
      <c r="H172" s="29">
        <f t="shared" ref="H172:L172" si="73">H173</f>
        <v>422.9</v>
      </c>
      <c r="I172" s="29">
        <f t="shared" si="73"/>
        <v>0</v>
      </c>
      <c r="J172" s="29">
        <f t="shared" si="73"/>
        <v>0</v>
      </c>
      <c r="K172" s="29">
        <f t="shared" si="73"/>
        <v>0</v>
      </c>
      <c r="L172" s="29">
        <f t="shared" si="73"/>
        <v>0</v>
      </c>
    </row>
    <row r="173" spans="3:12" ht="38.25" x14ac:dyDescent="0.2">
      <c r="C173" s="12" t="s">
        <v>270</v>
      </c>
      <c r="D173" s="16" t="s">
        <v>269</v>
      </c>
      <c r="E173" s="6"/>
      <c r="F173" s="6"/>
      <c r="G173" s="24">
        <v>0</v>
      </c>
      <c r="H173" s="24">
        <v>422.9</v>
      </c>
      <c r="I173" s="24">
        <v>0</v>
      </c>
      <c r="J173" s="24">
        <v>0</v>
      </c>
      <c r="K173" s="24">
        <v>0</v>
      </c>
      <c r="L173" s="24">
        <v>0</v>
      </c>
    </row>
    <row r="174" spans="3:12" ht="25.5" x14ac:dyDescent="0.2">
      <c r="C174" s="17" t="s">
        <v>226</v>
      </c>
      <c r="D174" s="18" t="s">
        <v>224</v>
      </c>
      <c r="E174" s="6"/>
      <c r="F174" s="6"/>
      <c r="G174" s="29">
        <f>G175</f>
        <v>8079.4</v>
      </c>
      <c r="H174" s="29">
        <v>895.80000000000007</v>
      </c>
      <c r="I174" s="29">
        <f t="shared" ref="I174:L174" si="74">I175</f>
        <v>8084.7</v>
      </c>
      <c r="J174" s="29">
        <f t="shared" si="74"/>
        <v>8832</v>
      </c>
      <c r="K174" s="29">
        <f t="shared" si="74"/>
        <v>8832</v>
      </c>
      <c r="L174" s="29">
        <f t="shared" si="74"/>
        <v>8832</v>
      </c>
    </row>
    <row r="175" spans="3:12" ht="76.5" x14ac:dyDescent="0.2">
      <c r="C175" s="14" t="s">
        <v>265</v>
      </c>
      <c r="D175" s="16" t="s">
        <v>227</v>
      </c>
      <c r="E175" s="5" t="s">
        <v>266</v>
      </c>
      <c r="F175" s="6"/>
      <c r="G175" s="24">
        <v>8079.4</v>
      </c>
      <c r="H175" s="24">
        <v>3432.39</v>
      </c>
      <c r="I175" s="24">
        <v>8084.7</v>
      </c>
      <c r="J175" s="24">
        <v>8832</v>
      </c>
      <c r="K175" s="24">
        <v>8832</v>
      </c>
      <c r="L175" s="24">
        <v>8832</v>
      </c>
    </row>
  </sheetData>
  <customSheetViews>
    <customSheetView guid="{65685584-75D0-4A51-AE28-5C7D20707FBD}" scale="90" showPageBreaks="1" fitToPage="1" printArea="1" hiddenColumns="1" state="hidden" topLeftCell="C1">
      <selection activeCell="K9" sqref="K9"/>
      <pageMargins left="0.19685039370078741" right="0.23622047244094491" top="0.78740157480314965" bottom="0.23622047244094491" header="0.31496062992125984" footer="0.31496062992125984"/>
      <pageSetup paperSize="9" scale="80" fitToHeight="0" orientation="landscape" r:id="rId1"/>
    </customSheetView>
    <customSheetView guid="{7BFFC2A3-0F28-4D31-9AD3-1E3078AA223D}" scale="90" fitToPage="1" hiddenColumns="1" state="hidden" topLeftCell="C1">
      <selection activeCell="K9" sqref="K9"/>
      <pageMargins left="0.19685039370078741" right="0.23622047244094491" top="0.78740157480314965" bottom="0.23622047244094491" header="0.31496062992125984" footer="0.31496062992125984"/>
      <pageSetup paperSize="9" scale="80" fitToHeight="0" orientation="landscape" r:id="rId2"/>
    </customSheetView>
    <customSheetView guid="{5BFBE340-7A77-4A81-BD8D-F4A5E4682C7D}" scale="90" showPageBreaks="1" fitToPage="1" printArea="1" hiddenColumns="1" state="hidden" topLeftCell="C1">
      <selection activeCell="K9" sqref="K9"/>
      <pageMargins left="0.19685039370078741" right="0.23622047244094491" top="0.78740157480314965" bottom="0.23622047244094491" header="0.31496062992125984" footer="0.31496062992125984"/>
      <pageSetup paperSize="9" scale="80" fitToHeight="0" orientation="landscape" r:id="rId3"/>
    </customSheetView>
    <customSheetView guid="{AB892BF4-7159-4365-ABCF-F353B99C910F}" scale="90" showPageBreaks="1" fitToPage="1" printArea="1" hiddenColumns="1" state="hidden" topLeftCell="C1">
      <selection activeCell="K9" sqref="K9"/>
      <pageMargins left="0.19685039370078741" right="0.23622047244094491" top="0.78740157480314965" bottom="0.23622047244094491" header="0.31496062992125984" footer="0.31496062992125984"/>
      <pageSetup paperSize="9" scale="80" fitToHeight="0" orientation="landscape" r:id="rId4"/>
    </customSheetView>
    <customSheetView guid="{59B1F92E-3080-4B3C-AB43-7CBA0A8FFB6D}" scale="90" showPageBreaks="1" fitToPage="1" printArea="1" hiddenColumns="1" topLeftCell="C1">
      <selection activeCell="D13" sqref="D13"/>
      <pageMargins left="0.19685039370078741" right="0.23622047244094491" top="0.78740157480314965" bottom="0.23622047244094491" header="0.31496062992125984" footer="0.31496062992125984"/>
      <pageSetup paperSize="9" scale="80" fitToHeight="0" orientation="landscape" r:id="rId5"/>
    </customSheetView>
    <customSheetView guid="{10B69522-62AE-4313-859A-9E4F497E803C}" scale="90" showPageBreaks="1" fitToPage="1" printArea="1" hiddenColumns="1" topLeftCell="C37">
      <selection activeCell="E31" sqref="E31"/>
      <pageMargins left="0.19685039370078741" right="0.23622047244094491" top="0.78740157480314965" bottom="0.23622047244094491" header="0.31496062992125984" footer="0.31496062992125984"/>
      <pageSetup paperSize="9" scale="80" fitToHeight="0" orientation="landscape" r:id="rId6"/>
    </customSheetView>
  </customSheetViews>
  <mergeCells count="7">
    <mergeCell ref="J1:L1"/>
    <mergeCell ref="C2:L2"/>
    <mergeCell ref="A4:A5"/>
    <mergeCell ref="B4:B5"/>
    <mergeCell ref="C4:D4"/>
    <mergeCell ref="J4:L4"/>
    <mergeCell ref="E4:E5"/>
  </mergeCells>
  <pageMargins left="0.19685039370078741" right="0.23622047244094491" top="0.78740157480314965" bottom="0.23622047244094491" header="0.31496062992125984" footer="0.31496062992125984"/>
  <pageSetup paperSize="9" scale="80" fitToHeight="0" orientation="landscape"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76"/>
  <sheetViews>
    <sheetView tabSelected="1" topLeftCell="C1" zoomScaleNormal="100" workbookViewId="0">
      <pane ySplit="6" topLeftCell="A153" activePane="bottomLeft" state="frozen"/>
      <selection activeCell="C1" sqref="C1"/>
      <selection pane="bottomLeft" activeCell="G158" sqref="G158"/>
    </sheetView>
  </sheetViews>
  <sheetFormatPr defaultColWidth="9.140625" defaultRowHeight="15" x14ac:dyDescent="0.25"/>
  <cols>
    <col min="1" max="1" width="9.140625" style="66" hidden="1" customWidth="1"/>
    <col min="2" max="2" width="21" style="66" hidden="1" customWidth="1"/>
    <col min="3" max="3" width="24.28515625" style="66" customWidth="1"/>
    <col min="4" max="4" width="76" style="66" customWidth="1"/>
    <col min="5" max="5" width="19.140625" style="66" customWidth="1"/>
    <col min="6" max="6" width="9.140625" style="66" hidden="1" customWidth="1"/>
    <col min="7" max="7" width="18.7109375" style="66" customWidth="1"/>
    <col min="8" max="8" width="17.5703125" style="66" customWidth="1"/>
    <col min="9" max="9" width="15.140625" style="66" customWidth="1"/>
    <col min="10" max="10" width="15" style="95" customWidth="1"/>
    <col min="11" max="11" width="15.42578125" style="66" customWidth="1"/>
    <col min="12" max="12" width="16.28515625" style="66" customWidth="1"/>
    <col min="13" max="13" width="18.85546875" style="66" customWidth="1"/>
    <col min="14" max="14" width="15.7109375" style="66" hidden="1" customWidth="1"/>
    <col min="15" max="15" width="11.140625" style="66" customWidth="1"/>
    <col min="16" max="16384" width="9.140625" style="66"/>
  </cols>
  <sheetData>
    <row r="1" spans="1:17" x14ac:dyDescent="0.25">
      <c r="K1" s="141"/>
      <c r="L1" s="141"/>
      <c r="M1" s="141"/>
    </row>
    <row r="2" spans="1:17" ht="18.75" x14ac:dyDescent="0.3">
      <c r="C2" s="142" t="s">
        <v>549</v>
      </c>
      <c r="D2" s="142"/>
      <c r="E2" s="142"/>
      <c r="F2" s="142"/>
      <c r="G2" s="142"/>
      <c r="H2" s="142"/>
      <c r="I2" s="142"/>
      <c r="J2" s="142"/>
      <c r="K2" s="142"/>
      <c r="L2" s="142"/>
      <c r="M2" s="142"/>
    </row>
    <row r="3" spans="1:17" ht="19.5" x14ac:dyDescent="0.3">
      <c r="C3" s="96"/>
      <c r="D3" s="96"/>
      <c r="E3" s="96"/>
      <c r="F3" s="96"/>
      <c r="G3" s="96"/>
      <c r="H3" s="96"/>
      <c r="I3" s="133"/>
      <c r="J3" s="97"/>
      <c r="K3" s="96"/>
      <c r="L3" s="96"/>
      <c r="M3" s="96"/>
    </row>
    <row r="4" spans="1:17" ht="15.75" x14ac:dyDescent="0.25">
      <c r="J4" s="98"/>
      <c r="M4" s="99" t="s">
        <v>467</v>
      </c>
    </row>
    <row r="5" spans="1:17" ht="86.25" customHeight="1" x14ac:dyDescent="0.2">
      <c r="A5" s="143" t="s">
        <v>0</v>
      </c>
      <c r="B5" s="144" t="s">
        <v>1</v>
      </c>
      <c r="C5" s="145" t="s">
        <v>2</v>
      </c>
      <c r="D5" s="145"/>
      <c r="E5" s="145" t="s">
        <v>474</v>
      </c>
      <c r="F5" s="100" t="s">
        <v>4</v>
      </c>
      <c r="G5" s="100" t="s">
        <v>550</v>
      </c>
      <c r="H5" s="100" t="s">
        <v>551</v>
      </c>
      <c r="I5" s="135" t="s">
        <v>552</v>
      </c>
      <c r="J5" s="101" t="s">
        <v>556</v>
      </c>
      <c r="K5" s="145" t="s">
        <v>475</v>
      </c>
      <c r="L5" s="145"/>
      <c r="M5" s="145"/>
    </row>
    <row r="6" spans="1:17" ht="40.5" customHeight="1" x14ac:dyDescent="0.25">
      <c r="A6" s="143"/>
      <c r="B6" s="144"/>
      <c r="C6" s="100" t="s">
        <v>6</v>
      </c>
      <c r="D6" s="100" t="s">
        <v>7</v>
      </c>
      <c r="E6" s="145"/>
      <c r="F6" s="100"/>
      <c r="G6" s="100"/>
      <c r="H6" s="102"/>
      <c r="I6" s="136"/>
      <c r="J6" s="103"/>
      <c r="K6" s="100" t="s">
        <v>553</v>
      </c>
      <c r="L6" s="100" t="s">
        <v>554</v>
      </c>
      <c r="M6" s="100" t="s">
        <v>555</v>
      </c>
    </row>
    <row r="7" spans="1:17" ht="12.75" x14ac:dyDescent="0.2">
      <c r="A7" s="104">
        <v>1</v>
      </c>
      <c r="B7" s="105">
        <v>2</v>
      </c>
      <c r="C7" s="104">
        <v>1</v>
      </c>
      <c r="D7" s="104">
        <v>2</v>
      </c>
      <c r="E7" s="104">
        <v>3</v>
      </c>
      <c r="F7" s="104">
        <v>6</v>
      </c>
      <c r="G7" s="104">
        <v>4</v>
      </c>
      <c r="H7" s="104">
        <v>5</v>
      </c>
      <c r="I7" s="134">
        <v>6</v>
      </c>
      <c r="J7" s="104">
        <v>7</v>
      </c>
      <c r="K7" s="104">
        <v>8</v>
      </c>
      <c r="L7" s="104">
        <v>9</v>
      </c>
      <c r="M7" s="104">
        <v>10</v>
      </c>
    </row>
    <row r="8" spans="1:17" s="108" customFormat="1" ht="19.5" customHeight="1" x14ac:dyDescent="0.2">
      <c r="A8" s="100"/>
      <c r="B8" s="106"/>
      <c r="C8" s="100"/>
      <c r="D8" s="107" t="s">
        <v>386</v>
      </c>
      <c r="E8" s="100"/>
      <c r="F8" s="100"/>
      <c r="G8" s="89">
        <f t="shared" ref="G8:M8" si="0">G9+G135</f>
        <v>3084305347.25</v>
      </c>
      <c r="H8" s="89">
        <f t="shared" si="0"/>
        <v>1585968016.0800002</v>
      </c>
      <c r="I8" s="89">
        <f>I9+I135</f>
        <v>2313203764.75</v>
      </c>
      <c r="J8" s="89">
        <f t="shared" si="0"/>
        <v>-784301582.5</v>
      </c>
      <c r="K8" s="89">
        <f t="shared" si="0"/>
        <v>2720124459.02</v>
      </c>
      <c r="L8" s="89">
        <f t="shared" si="0"/>
        <v>1669269561.22</v>
      </c>
      <c r="M8" s="89">
        <f t="shared" si="0"/>
        <v>1775698000.1700001</v>
      </c>
    </row>
    <row r="9" spans="1:17" ht="12.75" x14ac:dyDescent="0.2">
      <c r="A9" s="100"/>
      <c r="B9" s="109"/>
      <c r="C9" s="110" t="s">
        <v>9</v>
      </c>
      <c r="D9" s="111" t="s">
        <v>8</v>
      </c>
      <c r="E9" s="74"/>
      <c r="F9" s="74">
        <v>100</v>
      </c>
      <c r="G9" s="88">
        <f>G10+G22+G28+G43+G51+G60+G74+G82+G94+G101+G129+G57</f>
        <v>336007000</v>
      </c>
      <c r="H9" s="88">
        <f>H10+H22+H28+H43+H51+H60+H74+H82+H94+H101+H129+H57</f>
        <v>236446379.38000005</v>
      </c>
      <c r="I9" s="88">
        <f>I10+I22+I28+I43+I51+I60+I74+I82+I94+I101+I129+I57</f>
        <v>360007000</v>
      </c>
      <c r="J9" s="88">
        <f t="shared" ref="J9:M9" si="1">J10+J22+J28+J43+J51+J60+J74+J82+J94+J101+J129+J57</f>
        <v>10800000</v>
      </c>
      <c r="K9" s="88">
        <f t="shared" si="1"/>
        <v>342000000</v>
      </c>
      <c r="L9" s="88">
        <f t="shared" si="1"/>
        <v>364500000</v>
      </c>
      <c r="M9" s="88">
        <f t="shared" si="1"/>
        <v>384000000</v>
      </c>
      <c r="N9" s="112"/>
      <c r="O9" s="77"/>
    </row>
    <row r="10" spans="1:17" ht="12.75" x14ac:dyDescent="0.2">
      <c r="A10" s="104"/>
      <c r="B10" s="113"/>
      <c r="C10" s="110" t="s">
        <v>15</v>
      </c>
      <c r="D10" s="111" t="s">
        <v>10</v>
      </c>
      <c r="E10" s="74"/>
      <c r="F10" s="74"/>
      <c r="G10" s="88">
        <f>G11</f>
        <v>178500000</v>
      </c>
      <c r="H10" s="88">
        <f>H11</f>
        <v>115767307.55000001</v>
      </c>
      <c r="I10" s="88">
        <f>I11</f>
        <v>188047000</v>
      </c>
      <c r="J10" s="88">
        <f t="shared" ref="J10:M10" si="2">J11</f>
        <v>9547000</v>
      </c>
      <c r="K10" s="88">
        <f t="shared" si="2"/>
        <v>202216000</v>
      </c>
      <c r="L10" s="88">
        <f t="shared" si="2"/>
        <v>217732000</v>
      </c>
      <c r="M10" s="88">
        <f t="shared" si="2"/>
        <v>233743000</v>
      </c>
      <c r="N10" s="77"/>
      <c r="O10" s="114"/>
    </row>
    <row r="11" spans="1:17" ht="12.75" x14ac:dyDescent="0.2">
      <c r="C11" s="90" t="s">
        <v>21</v>
      </c>
      <c r="D11" s="91" t="s">
        <v>20</v>
      </c>
      <c r="E11" s="73"/>
      <c r="F11" s="83"/>
      <c r="G11" s="84">
        <f>G12+G13+G14+G15+G16+G17+G18+G19+G21</f>
        <v>178500000</v>
      </c>
      <c r="H11" s="84">
        <f>SUM(H12:H21)</f>
        <v>115767307.55000001</v>
      </c>
      <c r="I11" s="84">
        <f>I12+I13+I14+I15+I16+I17+I18+I19+I21</f>
        <v>188047000</v>
      </c>
      <c r="J11" s="84">
        <f>I11-G11</f>
        <v>9547000</v>
      </c>
      <c r="K11" s="84">
        <f t="shared" ref="K11" si="3">K12+K13+K14+K15+K16+K17+K18+K19+K21</f>
        <v>202216000</v>
      </c>
      <c r="L11" s="84">
        <f t="shared" ref="L11" si="4">L12+L13+L14+L15+L16+L17+L18+L19+L21</f>
        <v>217732000</v>
      </c>
      <c r="M11" s="84">
        <f t="shared" ref="M11" si="5">M12+M13+M14+M15+M16+M17+M18+M19+M21</f>
        <v>233743000</v>
      </c>
      <c r="N11" s="77"/>
      <c r="O11" s="77"/>
    </row>
    <row r="12" spans="1:17" ht="132" customHeight="1" x14ac:dyDescent="0.2">
      <c r="C12" s="94" t="s">
        <v>23</v>
      </c>
      <c r="D12" s="115" t="s">
        <v>587</v>
      </c>
      <c r="E12" s="73" t="s">
        <v>284</v>
      </c>
      <c r="F12" s="81"/>
      <c r="G12" s="86">
        <v>175880000</v>
      </c>
      <c r="H12" s="86">
        <v>62378600.579999998</v>
      </c>
      <c r="I12" s="78">
        <v>184752000</v>
      </c>
      <c r="J12" s="78">
        <f>I12-G12</f>
        <v>8872000</v>
      </c>
      <c r="K12" s="78">
        <f>200190000+216000</f>
        <v>200406000</v>
      </c>
      <c r="L12" s="78">
        <f>215711000+201000</f>
        <v>215912000</v>
      </c>
      <c r="M12" s="78">
        <f>231813000+85000</f>
        <v>231898000</v>
      </c>
      <c r="N12" s="77"/>
      <c r="O12" s="77"/>
      <c r="Q12" s="66" t="s">
        <v>407</v>
      </c>
    </row>
    <row r="13" spans="1:17" ht="93" customHeight="1" x14ac:dyDescent="0.2">
      <c r="C13" s="94" t="s">
        <v>25</v>
      </c>
      <c r="D13" s="115" t="s">
        <v>594</v>
      </c>
      <c r="E13" s="73" t="s">
        <v>284</v>
      </c>
      <c r="F13" s="81"/>
      <c r="G13" s="86">
        <v>505000</v>
      </c>
      <c r="H13" s="86">
        <v>360223.37</v>
      </c>
      <c r="I13" s="78">
        <v>400000</v>
      </c>
      <c r="J13" s="78">
        <f t="shared" ref="J13:J21" si="6">I13-G13</f>
        <v>-105000</v>
      </c>
      <c r="K13" s="78">
        <v>389000</v>
      </c>
      <c r="L13" s="78">
        <v>392000</v>
      </c>
      <c r="M13" s="78">
        <v>399000</v>
      </c>
      <c r="N13" s="77"/>
      <c r="O13" s="77"/>
    </row>
    <row r="14" spans="1:17" ht="90" customHeight="1" x14ac:dyDescent="0.2">
      <c r="C14" s="94" t="s">
        <v>602</v>
      </c>
      <c r="D14" s="115" t="s">
        <v>601</v>
      </c>
      <c r="E14" s="73" t="s">
        <v>284</v>
      </c>
      <c r="F14" s="81"/>
      <c r="G14" s="86">
        <v>0</v>
      </c>
      <c r="H14" s="86">
        <v>2500.66</v>
      </c>
      <c r="I14" s="78">
        <v>0</v>
      </c>
      <c r="J14" s="78">
        <f t="shared" si="6"/>
        <v>0</v>
      </c>
      <c r="K14" s="78">
        <v>0</v>
      </c>
      <c r="L14" s="78">
        <v>0</v>
      </c>
      <c r="M14" s="78">
        <v>0</v>
      </c>
      <c r="N14" s="77"/>
      <c r="O14" s="77"/>
    </row>
    <row r="15" spans="1:17" ht="80.25" customHeight="1" x14ac:dyDescent="0.2">
      <c r="C15" s="94" t="s">
        <v>27</v>
      </c>
      <c r="D15" s="92" t="s">
        <v>588</v>
      </c>
      <c r="E15" s="73" t="s">
        <v>284</v>
      </c>
      <c r="F15" s="81"/>
      <c r="G15" s="86">
        <v>1060000</v>
      </c>
      <c r="H15" s="78">
        <v>1116272.82</v>
      </c>
      <c r="I15" s="78">
        <v>1335000</v>
      </c>
      <c r="J15" s="78">
        <f t="shared" si="6"/>
        <v>275000</v>
      </c>
      <c r="K15" s="78">
        <v>971000</v>
      </c>
      <c r="L15" s="78">
        <v>975000</v>
      </c>
      <c r="M15" s="78">
        <v>982000</v>
      </c>
      <c r="N15" s="77"/>
      <c r="O15" s="77"/>
    </row>
    <row r="16" spans="1:17" ht="51" x14ac:dyDescent="0.2">
      <c r="C16" s="94" t="s">
        <v>29</v>
      </c>
      <c r="D16" s="92" t="s">
        <v>28</v>
      </c>
      <c r="E16" s="73" t="s">
        <v>284</v>
      </c>
      <c r="F16" s="81"/>
      <c r="G16" s="86">
        <v>70000</v>
      </c>
      <c r="H16" s="78">
        <v>61528.2</v>
      </c>
      <c r="I16" s="78">
        <v>70000</v>
      </c>
      <c r="J16" s="78">
        <f t="shared" si="6"/>
        <v>0</v>
      </c>
      <c r="K16" s="78">
        <v>73000</v>
      </c>
      <c r="L16" s="78">
        <v>73000</v>
      </c>
      <c r="M16" s="78">
        <v>74000</v>
      </c>
      <c r="N16" s="77"/>
      <c r="O16" s="77"/>
    </row>
    <row r="17" spans="3:15" ht="266.25" customHeight="1" x14ac:dyDescent="0.2">
      <c r="C17" s="94" t="s">
        <v>589</v>
      </c>
      <c r="D17" s="92" t="s">
        <v>590</v>
      </c>
      <c r="E17" s="73" t="s">
        <v>284</v>
      </c>
      <c r="F17" s="81"/>
      <c r="G17" s="86">
        <v>940000</v>
      </c>
      <c r="H17" s="78">
        <v>428782.31</v>
      </c>
      <c r="I17" s="78">
        <v>1445000</v>
      </c>
      <c r="J17" s="78">
        <f t="shared" si="6"/>
        <v>505000</v>
      </c>
      <c r="K17" s="78">
        <v>296000</v>
      </c>
      <c r="L17" s="78">
        <v>298000</v>
      </c>
      <c r="M17" s="78">
        <v>306000</v>
      </c>
      <c r="N17" s="77"/>
      <c r="O17" s="77"/>
    </row>
    <row r="18" spans="3:15" ht="63.75" x14ac:dyDescent="0.2">
      <c r="C18" s="94" t="s">
        <v>454</v>
      </c>
      <c r="D18" s="92" t="s">
        <v>591</v>
      </c>
      <c r="E18" s="73" t="s">
        <v>284</v>
      </c>
      <c r="F18" s="81"/>
      <c r="G18" s="86">
        <v>45000</v>
      </c>
      <c r="H18" s="78">
        <v>8971</v>
      </c>
      <c r="I18" s="78">
        <v>45000</v>
      </c>
      <c r="J18" s="78">
        <f t="shared" si="6"/>
        <v>0</v>
      </c>
      <c r="K18" s="78">
        <v>69000</v>
      </c>
      <c r="L18" s="78">
        <v>70000</v>
      </c>
      <c r="M18" s="78">
        <v>72000</v>
      </c>
      <c r="N18" s="77"/>
      <c r="O18" s="77"/>
    </row>
    <row r="19" spans="3:15" ht="174" customHeight="1" x14ac:dyDescent="0.2">
      <c r="C19" s="94" t="s">
        <v>616</v>
      </c>
      <c r="D19" s="92" t="s">
        <v>617</v>
      </c>
      <c r="E19" s="73" t="s">
        <v>284</v>
      </c>
      <c r="F19" s="81"/>
      <c r="G19" s="86">
        <v>0</v>
      </c>
      <c r="H19" s="78">
        <v>49895.35</v>
      </c>
      <c r="I19" s="78">
        <v>0</v>
      </c>
      <c r="J19" s="78">
        <f t="shared" si="6"/>
        <v>0</v>
      </c>
      <c r="K19" s="78">
        <v>12000</v>
      </c>
      <c r="L19" s="78">
        <v>12000</v>
      </c>
      <c r="M19" s="78">
        <v>12000</v>
      </c>
      <c r="N19" s="77"/>
      <c r="O19" s="77"/>
    </row>
    <row r="20" spans="3:15" ht="69" customHeight="1" x14ac:dyDescent="0.2">
      <c r="C20" s="94" t="s">
        <v>593</v>
      </c>
      <c r="D20" s="92" t="s">
        <v>592</v>
      </c>
      <c r="E20" s="73" t="s">
        <v>284</v>
      </c>
      <c r="F20" s="81"/>
      <c r="G20" s="86">
        <v>0</v>
      </c>
      <c r="H20" s="78">
        <v>51357657.329999998</v>
      </c>
      <c r="I20" s="78">
        <v>0</v>
      </c>
      <c r="J20" s="78">
        <f t="shared" ref="J20" si="7">I20-G20</f>
        <v>0</v>
      </c>
      <c r="K20" s="78">
        <v>0</v>
      </c>
      <c r="L20" s="78">
        <v>0</v>
      </c>
      <c r="M20" s="78">
        <v>0</v>
      </c>
      <c r="N20" s="77"/>
      <c r="O20" s="77"/>
    </row>
    <row r="21" spans="3:15" ht="69" customHeight="1" x14ac:dyDescent="0.2">
      <c r="C21" s="94" t="s">
        <v>656</v>
      </c>
      <c r="D21" s="92" t="s">
        <v>657</v>
      </c>
      <c r="E21" s="73" t="s">
        <v>284</v>
      </c>
      <c r="F21" s="81"/>
      <c r="G21" s="86">
        <v>0</v>
      </c>
      <c r="H21" s="78">
        <v>2875.93</v>
      </c>
      <c r="I21" s="78">
        <v>0</v>
      </c>
      <c r="J21" s="78">
        <f t="shared" si="6"/>
        <v>0</v>
      </c>
      <c r="K21" s="78">
        <v>0</v>
      </c>
      <c r="L21" s="78">
        <v>0</v>
      </c>
      <c r="M21" s="78">
        <v>0</v>
      </c>
      <c r="N21" s="77"/>
      <c r="O21" s="77"/>
    </row>
    <row r="22" spans="3:15" ht="12.75" x14ac:dyDescent="0.2">
      <c r="C22" s="90" t="s">
        <v>31</v>
      </c>
      <c r="D22" s="91" t="s">
        <v>30</v>
      </c>
      <c r="E22" s="75"/>
      <c r="F22" s="83"/>
      <c r="G22" s="84">
        <f>G23</f>
        <v>8300000</v>
      </c>
      <c r="H22" s="84">
        <f t="shared" ref="H22:M22" si="8">H23</f>
        <v>5431741.79</v>
      </c>
      <c r="I22" s="84">
        <f t="shared" si="8"/>
        <v>8300000</v>
      </c>
      <c r="J22" s="78">
        <f t="shared" si="8"/>
        <v>0</v>
      </c>
      <c r="K22" s="84">
        <f t="shared" si="8"/>
        <v>9900000</v>
      </c>
      <c r="L22" s="84">
        <f t="shared" si="8"/>
        <v>13200000</v>
      </c>
      <c r="M22" s="84">
        <f t="shared" si="8"/>
        <v>13300000</v>
      </c>
      <c r="N22" s="77"/>
      <c r="O22" s="77"/>
    </row>
    <row r="23" spans="3:15" ht="25.5" x14ac:dyDescent="0.2">
      <c r="C23" s="115" t="s">
        <v>33</v>
      </c>
      <c r="D23" s="115" t="s">
        <v>32</v>
      </c>
      <c r="E23" s="115"/>
      <c r="F23" s="115"/>
      <c r="G23" s="78">
        <f t="shared" ref="G23:M23" si="9">G24+G25+G26+G27</f>
        <v>8300000</v>
      </c>
      <c r="H23" s="78">
        <f t="shared" si="9"/>
        <v>5431741.79</v>
      </c>
      <c r="I23" s="78">
        <f t="shared" si="9"/>
        <v>8300000</v>
      </c>
      <c r="J23" s="84">
        <f t="shared" ref="J23:J27" si="10">I23-G23</f>
        <v>0</v>
      </c>
      <c r="K23" s="78">
        <f t="shared" si="9"/>
        <v>9900000</v>
      </c>
      <c r="L23" s="78">
        <f t="shared" si="9"/>
        <v>13200000</v>
      </c>
      <c r="M23" s="78">
        <f t="shared" si="9"/>
        <v>13300000</v>
      </c>
      <c r="N23" s="77"/>
      <c r="O23" s="77"/>
    </row>
    <row r="24" spans="3:15" ht="66.75" customHeight="1" x14ac:dyDescent="0.2">
      <c r="C24" s="92" t="s">
        <v>455</v>
      </c>
      <c r="D24" s="92" t="s">
        <v>585</v>
      </c>
      <c r="E24" s="73" t="s">
        <v>284</v>
      </c>
      <c r="F24" s="92"/>
      <c r="G24" s="86">
        <v>4335000</v>
      </c>
      <c r="H24" s="86">
        <v>2742964.62</v>
      </c>
      <c r="I24" s="86">
        <v>4335000</v>
      </c>
      <c r="J24" s="78">
        <f t="shared" si="10"/>
        <v>0</v>
      </c>
      <c r="K24" s="86">
        <f>5193000-24000</f>
        <v>5169000</v>
      </c>
      <c r="L24" s="86">
        <f>6928000-57000</f>
        <v>6871000</v>
      </c>
      <c r="M24" s="86">
        <f>6936000+7000</f>
        <v>6943000</v>
      </c>
      <c r="N24" s="77"/>
      <c r="O24" s="77"/>
    </row>
    <row r="25" spans="3:15" ht="79.5" customHeight="1" x14ac:dyDescent="0.2">
      <c r="C25" s="92" t="s">
        <v>456</v>
      </c>
      <c r="D25" s="92" t="s">
        <v>586</v>
      </c>
      <c r="E25" s="73" t="s">
        <v>284</v>
      </c>
      <c r="F25" s="92"/>
      <c r="G25" s="86">
        <v>20000</v>
      </c>
      <c r="H25" s="86">
        <v>16028.74</v>
      </c>
      <c r="I25" s="86">
        <v>20000</v>
      </c>
      <c r="J25" s="78">
        <f t="shared" si="10"/>
        <v>0</v>
      </c>
      <c r="K25" s="86">
        <v>25000</v>
      </c>
      <c r="L25" s="86">
        <v>34000</v>
      </c>
      <c r="M25" s="86">
        <v>34000</v>
      </c>
      <c r="N25" s="77"/>
      <c r="O25" s="77"/>
    </row>
    <row r="26" spans="3:15" ht="66" customHeight="1" x14ac:dyDescent="0.2">
      <c r="C26" s="92" t="s">
        <v>457</v>
      </c>
      <c r="D26" s="92" t="s">
        <v>595</v>
      </c>
      <c r="E26" s="73" t="s">
        <v>284</v>
      </c>
      <c r="F26" s="92"/>
      <c r="G26" s="86">
        <v>4388000</v>
      </c>
      <c r="H26" s="86">
        <v>2928811.63</v>
      </c>
      <c r="I26" s="86">
        <v>4388000</v>
      </c>
      <c r="J26" s="78">
        <f t="shared" si="10"/>
        <v>0</v>
      </c>
      <c r="K26" s="86">
        <v>5023000</v>
      </c>
      <c r="L26" s="86">
        <v>6701000</v>
      </c>
      <c r="M26" s="86">
        <v>6714000</v>
      </c>
      <c r="N26" s="77"/>
      <c r="O26" s="77"/>
    </row>
    <row r="27" spans="3:15" ht="66.75" customHeight="1" x14ac:dyDescent="0.2">
      <c r="C27" s="92" t="s">
        <v>458</v>
      </c>
      <c r="D27" s="92" t="s">
        <v>596</v>
      </c>
      <c r="E27" s="73" t="s">
        <v>284</v>
      </c>
      <c r="F27" s="92"/>
      <c r="G27" s="86">
        <v>-443000</v>
      </c>
      <c r="H27" s="86">
        <v>-256063.2</v>
      </c>
      <c r="I27" s="86">
        <v>-443000</v>
      </c>
      <c r="J27" s="78">
        <f t="shared" si="10"/>
        <v>0</v>
      </c>
      <c r="K27" s="86">
        <v>-317000</v>
      </c>
      <c r="L27" s="86">
        <v>-406000</v>
      </c>
      <c r="M27" s="86">
        <v>-391000</v>
      </c>
      <c r="N27" s="77"/>
      <c r="O27" s="77"/>
    </row>
    <row r="28" spans="3:15" ht="12.75" x14ac:dyDescent="0.2">
      <c r="C28" s="90" t="s">
        <v>49</v>
      </c>
      <c r="D28" s="91" t="s">
        <v>48</v>
      </c>
      <c r="E28" s="74"/>
      <c r="F28" s="83"/>
      <c r="G28" s="84">
        <f>G29+G36+G38+G40</f>
        <v>80900000</v>
      </c>
      <c r="H28" s="84">
        <f>H29+H36+H38+H40</f>
        <v>58358139.82</v>
      </c>
      <c r="I28" s="84">
        <f t="shared" ref="I28:M28" si="11">I29+I36+I38+I40</f>
        <v>77110000</v>
      </c>
      <c r="J28" s="78">
        <f t="shared" ref="J28" si="12">J29+J36+J38+J40</f>
        <v>-3790000</v>
      </c>
      <c r="K28" s="84">
        <f t="shared" si="11"/>
        <v>47554000</v>
      </c>
      <c r="L28" s="84">
        <f t="shared" si="11"/>
        <v>48658000</v>
      </c>
      <c r="M28" s="84">
        <f t="shared" si="11"/>
        <v>49747000</v>
      </c>
      <c r="N28" s="77"/>
      <c r="O28" s="77"/>
    </row>
    <row r="29" spans="3:15" ht="25.5" x14ac:dyDescent="0.2">
      <c r="C29" s="90" t="s">
        <v>238</v>
      </c>
      <c r="D29" s="91" t="s">
        <v>50</v>
      </c>
      <c r="E29" s="74" t="s">
        <v>284</v>
      </c>
      <c r="F29" s="83"/>
      <c r="G29" s="84">
        <f t="shared" ref="G29" si="13">G30+G32</f>
        <v>76700000</v>
      </c>
      <c r="H29" s="84">
        <f>H30+H32+H34</f>
        <v>53955697.800000004</v>
      </c>
      <c r="I29" s="84">
        <f t="shared" ref="I29:M29" si="14">I30+I32+I34</f>
        <v>70754000</v>
      </c>
      <c r="J29" s="84">
        <f t="shared" ref="J29" si="15">J30+J32+J34</f>
        <v>-5946000</v>
      </c>
      <c r="K29" s="84">
        <f t="shared" si="14"/>
        <v>46000000</v>
      </c>
      <c r="L29" s="84">
        <f t="shared" si="14"/>
        <v>47000000</v>
      </c>
      <c r="M29" s="84">
        <f t="shared" si="14"/>
        <v>48000000</v>
      </c>
      <c r="N29" s="77"/>
      <c r="O29" s="77"/>
    </row>
    <row r="30" spans="3:15" ht="25.5" x14ac:dyDescent="0.2">
      <c r="C30" s="94" t="s">
        <v>239</v>
      </c>
      <c r="D30" s="92" t="s">
        <v>51</v>
      </c>
      <c r="E30" s="73"/>
      <c r="F30" s="81"/>
      <c r="G30" s="78">
        <f>G31</f>
        <v>47200000</v>
      </c>
      <c r="H30" s="78">
        <f t="shared" ref="H30:M30" si="16">H31</f>
        <v>36053910.380000003</v>
      </c>
      <c r="I30" s="78">
        <f>I31</f>
        <v>46348000</v>
      </c>
      <c r="J30" s="78">
        <f t="shared" ref="J30:J42" si="17">I30-G30</f>
        <v>-852000</v>
      </c>
      <c r="K30" s="78">
        <f t="shared" si="16"/>
        <v>30045000</v>
      </c>
      <c r="L30" s="78">
        <f t="shared" si="16"/>
        <v>30726000</v>
      </c>
      <c r="M30" s="78">
        <f t="shared" si="16"/>
        <v>31400000</v>
      </c>
      <c r="N30" s="77"/>
      <c r="O30" s="77"/>
    </row>
    <row r="31" spans="3:15" ht="30.75" customHeight="1" x14ac:dyDescent="0.2">
      <c r="C31" s="92" t="s">
        <v>52</v>
      </c>
      <c r="D31" s="92" t="s">
        <v>51</v>
      </c>
      <c r="E31" s="73" t="s">
        <v>284</v>
      </c>
      <c r="F31" s="81"/>
      <c r="G31" s="78">
        <v>47200000</v>
      </c>
      <c r="H31" s="78">
        <v>36053910.380000003</v>
      </c>
      <c r="I31" s="78">
        <v>46348000</v>
      </c>
      <c r="J31" s="84">
        <f t="shared" si="17"/>
        <v>-852000</v>
      </c>
      <c r="K31" s="78">
        <f>30035000+10000</f>
        <v>30045000</v>
      </c>
      <c r="L31" s="78">
        <f>30636000+90000</f>
        <v>30726000</v>
      </c>
      <c r="M31" s="78">
        <f>31248000+152000</f>
        <v>31400000</v>
      </c>
      <c r="N31" s="77"/>
      <c r="O31" s="77"/>
    </row>
    <row r="32" spans="3:15" ht="27" customHeight="1" x14ac:dyDescent="0.2">
      <c r="C32" s="94" t="s">
        <v>240</v>
      </c>
      <c r="D32" s="92" t="s">
        <v>53</v>
      </c>
      <c r="E32" s="73"/>
      <c r="F32" s="81"/>
      <c r="G32" s="78">
        <f>G33</f>
        <v>29500000</v>
      </c>
      <c r="H32" s="78">
        <f t="shared" ref="H32:K32" si="18">H33</f>
        <v>17901751.149999999</v>
      </c>
      <c r="I32" s="78">
        <f>I33</f>
        <v>24406000</v>
      </c>
      <c r="J32" s="78">
        <f t="shared" si="17"/>
        <v>-5094000</v>
      </c>
      <c r="K32" s="78">
        <f t="shared" si="18"/>
        <v>15955000</v>
      </c>
      <c r="L32" s="78">
        <f>L33</f>
        <v>16274000</v>
      </c>
      <c r="M32" s="78">
        <f>M33</f>
        <v>16600000</v>
      </c>
      <c r="N32" s="77"/>
      <c r="O32" s="77"/>
    </row>
    <row r="33" spans="3:15" ht="44.25" customHeight="1" x14ac:dyDescent="0.2">
      <c r="C33" s="94" t="s">
        <v>54</v>
      </c>
      <c r="D33" s="92" t="s">
        <v>597</v>
      </c>
      <c r="E33" s="73" t="s">
        <v>284</v>
      </c>
      <c r="F33" s="81"/>
      <c r="G33" s="78">
        <v>29500000</v>
      </c>
      <c r="H33" s="78">
        <v>17901751.149999999</v>
      </c>
      <c r="I33" s="78">
        <v>24406000</v>
      </c>
      <c r="J33" s="84">
        <f t="shared" si="17"/>
        <v>-5094000</v>
      </c>
      <c r="K33" s="78">
        <v>15955000</v>
      </c>
      <c r="L33" s="78">
        <v>16274000</v>
      </c>
      <c r="M33" s="78">
        <v>16600000</v>
      </c>
      <c r="N33" s="77"/>
      <c r="O33" s="77"/>
    </row>
    <row r="34" spans="3:15" ht="40.15" customHeight="1" x14ac:dyDescent="0.2">
      <c r="C34" s="94" t="s">
        <v>56</v>
      </c>
      <c r="D34" s="92" t="s">
        <v>459</v>
      </c>
      <c r="E34" s="73"/>
      <c r="F34" s="81"/>
      <c r="G34" s="78">
        <f>G35</f>
        <v>0</v>
      </c>
      <c r="H34" s="78">
        <f t="shared" ref="H34:M34" si="19">H35</f>
        <v>36.270000000000003</v>
      </c>
      <c r="I34" s="78">
        <f t="shared" si="19"/>
        <v>0</v>
      </c>
      <c r="J34" s="78">
        <f t="shared" si="17"/>
        <v>0</v>
      </c>
      <c r="K34" s="78">
        <f t="shared" si="19"/>
        <v>0</v>
      </c>
      <c r="L34" s="78">
        <f t="shared" si="19"/>
        <v>0</v>
      </c>
      <c r="M34" s="78">
        <f t="shared" si="19"/>
        <v>0</v>
      </c>
      <c r="N34" s="77"/>
      <c r="O34" s="77"/>
    </row>
    <row r="35" spans="3:15" ht="55.5" customHeight="1" x14ac:dyDescent="0.2">
      <c r="C35" s="94" t="s">
        <v>460</v>
      </c>
      <c r="D35" s="92" t="s">
        <v>461</v>
      </c>
      <c r="E35" s="73" t="s">
        <v>284</v>
      </c>
      <c r="F35" s="81"/>
      <c r="G35" s="78">
        <v>0</v>
      </c>
      <c r="H35" s="78">
        <v>36.270000000000003</v>
      </c>
      <c r="I35" s="78">
        <v>0</v>
      </c>
      <c r="J35" s="84">
        <f t="shared" si="17"/>
        <v>0</v>
      </c>
      <c r="K35" s="78">
        <v>0</v>
      </c>
      <c r="L35" s="78">
        <v>0</v>
      </c>
      <c r="M35" s="78">
        <v>0</v>
      </c>
      <c r="N35" s="77"/>
      <c r="O35" s="77"/>
    </row>
    <row r="36" spans="3:15" ht="26.25" customHeight="1" x14ac:dyDescent="0.2">
      <c r="C36" s="90" t="s">
        <v>388</v>
      </c>
      <c r="D36" s="91" t="s">
        <v>387</v>
      </c>
      <c r="E36" s="74"/>
      <c r="F36" s="116"/>
      <c r="G36" s="84">
        <f t="shared" ref="G36:M36" si="20">G37</f>
        <v>20000</v>
      </c>
      <c r="H36" s="84">
        <f t="shared" si="20"/>
        <v>23860</v>
      </c>
      <c r="I36" s="84">
        <f t="shared" si="20"/>
        <v>24000</v>
      </c>
      <c r="J36" s="78">
        <f t="shared" si="20"/>
        <v>4000</v>
      </c>
      <c r="K36" s="84">
        <f t="shared" si="20"/>
        <v>12000</v>
      </c>
      <c r="L36" s="84">
        <f t="shared" si="20"/>
        <v>8000</v>
      </c>
      <c r="M36" s="84">
        <f t="shared" si="20"/>
        <v>7000</v>
      </c>
      <c r="N36" s="77"/>
      <c r="O36" s="77"/>
    </row>
    <row r="37" spans="3:15" ht="26.25" customHeight="1" x14ac:dyDescent="0.2">
      <c r="C37" s="94" t="s">
        <v>408</v>
      </c>
      <c r="D37" s="92" t="s">
        <v>387</v>
      </c>
      <c r="E37" s="73" t="s">
        <v>284</v>
      </c>
      <c r="F37" s="116"/>
      <c r="G37" s="78">
        <v>20000</v>
      </c>
      <c r="H37" s="78">
        <v>23860</v>
      </c>
      <c r="I37" s="78">
        <v>24000</v>
      </c>
      <c r="J37" s="84">
        <f t="shared" si="17"/>
        <v>4000</v>
      </c>
      <c r="K37" s="78">
        <v>12000</v>
      </c>
      <c r="L37" s="78">
        <v>8000</v>
      </c>
      <c r="M37" s="78">
        <v>7000</v>
      </c>
      <c r="N37" s="77"/>
      <c r="O37" s="77"/>
    </row>
    <row r="38" spans="3:15" ht="12.75" x14ac:dyDescent="0.2">
      <c r="C38" s="90" t="s">
        <v>390</v>
      </c>
      <c r="D38" s="91" t="s">
        <v>279</v>
      </c>
      <c r="E38" s="74"/>
      <c r="F38" s="83"/>
      <c r="G38" s="84">
        <f>G39</f>
        <v>20000</v>
      </c>
      <c r="H38" s="84">
        <f t="shared" ref="H38:M38" si="21">H39</f>
        <v>178982.9</v>
      </c>
      <c r="I38" s="84">
        <f t="shared" si="21"/>
        <v>202000</v>
      </c>
      <c r="J38" s="78">
        <f t="shared" si="21"/>
        <v>182000</v>
      </c>
      <c r="K38" s="84">
        <f t="shared" si="21"/>
        <v>52000</v>
      </c>
      <c r="L38" s="84">
        <f t="shared" si="21"/>
        <v>60000</v>
      </c>
      <c r="M38" s="84">
        <f t="shared" si="21"/>
        <v>60000</v>
      </c>
      <c r="N38" s="77"/>
      <c r="O38" s="77"/>
    </row>
    <row r="39" spans="3:15" ht="25.5" x14ac:dyDescent="0.2">
      <c r="C39" s="94" t="s">
        <v>389</v>
      </c>
      <c r="D39" s="92" t="s">
        <v>279</v>
      </c>
      <c r="E39" s="73" t="s">
        <v>284</v>
      </c>
      <c r="F39" s="83"/>
      <c r="G39" s="78">
        <v>20000</v>
      </c>
      <c r="H39" s="78">
        <v>178982.9</v>
      </c>
      <c r="I39" s="78">
        <v>202000</v>
      </c>
      <c r="J39" s="84">
        <f t="shared" si="17"/>
        <v>182000</v>
      </c>
      <c r="K39" s="78">
        <v>52000</v>
      </c>
      <c r="L39" s="78">
        <v>60000</v>
      </c>
      <c r="M39" s="78">
        <v>60000</v>
      </c>
      <c r="N39" s="77"/>
      <c r="O39" s="77"/>
    </row>
    <row r="40" spans="3:15" ht="12.75" x14ac:dyDescent="0.2">
      <c r="C40" s="90" t="s">
        <v>391</v>
      </c>
      <c r="D40" s="91" t="s">
        <v>392</v>
      </c>
      <c r="E40" s="74"/>
      <c r="F40" s="83"/>
      <c r="G40" s="84">
        <f>G41+G42</f>
        <v>4160000</v>
      </c>
      <c r="H40" s="84">
        <f>H41+H42</f>
        <v>4199599.12</v>
      </c>
      <c r="I40" s="84">
        <f t="shared" ref="I40:M40" si="22">I41+I42</f>
        <v>6130000</v>
      </c>
      <c r="J40" s="84">
        <f t="shared" si="22"/>
        <v>1970000</v>
      </c>
      <c r="K40" s="84">
        <f t="shared" si="22"/>
        <v>1490000</v>
      </c>
      <c r="L40" s="84">
        <f t="shared" si="22"/>
        <v>1590000</v>
      </c>
      <c r="M40" s="84">
        <f t="shared" si="22"/>
        <v>1680000</v>
      </c>
      <c r="N40" s="77"/>
      <c r="O40" s="77"/>
    </row>
    <row r="41" spans="3:15" ht="38.25" x14ac:dyDescent="0.2">
      <c r="C41" s="94" t="s">
        <v>603</v>
      </c>
      <c r="D41" s="92" t="s">
        <v>604</v>
      </c>
      <c r="E41" s="73" t="s">
        <v>284</v>
      </c>
      <c r="F41" s="83"/>
      <c r="G41" s="78">
        <v>4160000</v>
      </c>
      <c r="H41" s="78">
        <v>4199598.58</v>
      </c>
      <c r="I41" s="78">
        <v>6130000</v>
      </c>
      <c r="J41" s="84">
        <f t="shared" ref="J41" si="23">I41-G41</f>
        <v>1970000</v>
      </c>
      <c r="K41" s="78">
        <f>1489000+1000</f>
        <v>1490000</v>
      </c>
      <c r="L41" s="78">
        <f>1589000+1000</f>
        <v>1590000</v>
      </c>
      <c r="M41" s="78">
        <f>1683000-3000</f>
        <v>1680000</v>
      </c>
      <c r="N41" s="77"/>
      <c r="O41" s="77"/>
    </row>
    <row r="42" spans="3:15" ht="25.5" x14ac:dyDescent="0.2">
      <c r="C42" s="94" t="s">
        <v>667</v>
      </c>
      <c r="D42" s="92" t="s">
        <v>666</v>
      </c>
      <c r="E42" s="73" t="s">
        <v>284</v>
      </c>
      <c r="F42" s="83"/>
      <c r="G42" s="78">
        <v>0</v>
      </c>
      <c r="H42" s="78">
        <v>0.54</v>
      </c>
      <c r="I42" s="78">
        <v>0</v>
      </c>
      <c r="J42" s="84">
        <f t="shared" si="17"/>
        <v>0</v>
      </c>
      <c r="K42" s="78">
        <v>0</v>
      </c>
      <c r="L42" s="78">
        <v>0</v>
      </c>
      <c r="M42" s="78">
        <v>0</v>
      </c>
      <c r="N42" s="77"/>
      <c r="O42" s="77"/>
    </row>
    <row r="43" spans="3:15" ht="12.75" x14ac:dyDescent="0.2">
      <c r="C43" s="90" t="s">
        <v>58</v>
      </c>
      <c r="D43" s="91" t="s">
        <v>57</v>
      </c>
      <c r="E43" s="74"/>
      <c r="F43" s="83"/>
      <c r="G43" s="84">
        <f t="shared" ref="G43:M43" si="24">G44+G46</f>
        <v>3000000</v>
      </c>
      <c r="H43" s="84">
        <f t="shared" si="24"/>
        <v>2051312.98</v>
      </c>
      <c r="I43" s="84">
        <f t="shared" si="24"/>
        <v>5452000</v>
      </c>
      <c r="J43" s="84">
        <f t="shared" si="24"/>
        <v>2452000</v>
      </c>
      <c r="K43" s="84">
        <f t="shared" si="24"/>
        <v>5480000</v>
      </c>
      <c r="L43" s="84">
        <f t="shared" si="24"/>
        <v>5860000</v>
      </c>
      <c r="M43" s="84">
        <f t="shared" si="24"/>
        <v>5960000</v>
      </c>
      <c r="N43" s="77"/>
      <c r="O43" s="77"/>
    </row>
    <row r="44" spans="3:15" ht="12.75" x14ac:dyDescent="0.2">
      <c r="C44" s="94" t="s">
        <v>648</v>
      </c>
      <c r="D44" s="92" t="s">
        <v>393</v>
      </c>
      <c r="E44" s="73"/>
      <c r="F44" s="83"/>
      <c r="G44" s="78">
        <f t="shared" ref="G44:M44" si="25">G45</f>
        <v>2100000</v>
      </c>
      <c r="H44" s="78">
        <f t="shared" si="25"/>
        <v>1587182.49</v>
      </c>
      <c r="I44" s="78">
        <f t="shared" si="25"/>
        <v>4550000</v>
      </c>
      <c r="J44" s="84">
        <f t="shared" si="25"/>
        <v>2450000</v>
      </c>
      <c r="K44" s="78">
        <f t="shared" si="25"/>
        <v>4560000</v>
      </c>
      <c r="L44" s="78">
        <f t="shared" si="25"/>
        <v>4910000</v>
      </c>
      <c r="M44" s="78">
        <f t="shared" si="25"/>
        <v>5000000</v>
      </c>
      <c r="N44" s="77"/>
      <c r="O44" s="77"/>
    </row>
    <row r="45" spans="3:15" ht="25.5" x14ac:dyDescent="0.2">
      <c r="C45" s="94" t="s">
        <v>548</v>
      </c>
      <c r="D45" s="94" t="s">
        <v>598</v>
      </c>
      <c r="E45" s="73" t="s">
        <v>284</v>
      </c>
      <c r="F45" s="83"/>
      <c r="G45" s="78">
        <v>2100000</v>
      </c>
      <c r="H45" s="78">
        <v>1587182.49</v>
      </c>
      <c r="I45" s="78">
        <v>4550000</v>
      </c>
      <c r="J45" s="78">
        <f t="shared" ref="J45" si="26">I45-G45</f>
        <v>2450000</v>
      </c>
      <c r="K45" s="78">
        <v>4560000</v>
      </c>
      <c r="L45" s="78">
        <v>4910000</v>
      </c>
      <c r="M45" s="78">
        <v>5000000</v>
      </c>
      <c r="N45" s="77"/>
      <c r="O45" s="77"/>
    </row>
    <row r="46" spans="3:15" ht="12.75" x14ac:dyDescent="0.2">
      <c r="C46" s="94" t="s">
        <v>395</v>
      </c>
      <c r="D46" s="92" t="s">
        <v>394</v>
      </c>
      <c r="E46" s="73"/>
      <c r="F46" s="81"/>
      <c r="G46" s="78">
        <f>G47+G49</f>
        <v>900000</v>
      </c>
      <c r="H46" s="78">
        <f t="shared" ref="H46:M46" si="27">H47+H49</f>
        <v>464130.49</v>
      </c>
      <c r="I46" s="78">
        <f t="shared" si="27"/>
        <v>902000</v>
      </c>
      <c r="J46" s="84">
        <f t="shared" si="27"/>
        <v>2000</v>
      </c>
      <c r="K46" s="78">
        <f t="shared" si="27"/>
        <v>920000</v>
      </c>
      <c r="L46" s="78">
        <f t="shared" si="27"/>
        <v>950000</v>
      </c>
      <c r="M46" s="78">
        <f t="shared" si="27"/>
        <v>960000</v>
      </c>
      <c r="N46" s="77"/>
      <c r="O46" s="77"/>
    </row>
    <row r="47" spans="3:15" ht="25.5" x14ac:dyDescent="0.2">
      <c r="C47" s="94" t="s">
        <v>397</v>
      </c>
      <c r="D47" s="92" t="s">
        <v>396</v>
      </c>
      <c r="E47" s="73" t="s">
        <v>284</v>
      </c>
      <c r="F47" s="81"/>
      <c r="G47" s="78">
        <f t="shared" ref="G47:M47" si="28">G48</f>
        <v>510000</v>
      </c>
      <c r="H47" s="78">
        <f t="shared" si="28"/>
        <v>382530.47</v>
      </c>
      <c r="I47" s="78">
        <f t="shared" si="28"/>
        <v>511000</v>
      </c>
      <c r="J47" s="78">
        <f t="shared" si="28"/>
        <v>1000</v>
      </c>
      <c r="K47" s="78">
        <f t="shared" si="28"/>
        <v>530000</v>
      </c>
      <c r="L47" s="78">
        <f t="shared" si="28"/>
        <v>545000</v>
      </c>
      <c r="M47" s="78">
        <f t="shared" si="28"/>
        <v>550000</v>
      </c>
      <c r="N47" s="77"/>
      <c r="O47" s="77"/>
    </row>
    <row r="48" spans="3:15" ht="25.5" x14ac:dyDescent="0.2">
      <c r="C48" s="94" t="s">
        <v>546</v>
      </c>
      <c r="D48" s="92" t="s">
        <v>547</v>
      </c>
      <c r="E48" s="73" t="s">
        <v>284</v>
      </c>
      <c r="F48" s="81"/>
      <c r="G48" s="78">
        <v>510000</v>
      </c>
      <c r="H48" s="78">
        <v>382530.47</v>
      </c>
      <c r="I48" s="78">
        <v>511000</v>
      </c>
      <c r="J48" s="84">
        <f t="shared" ref="J48" si="29">I48-G48</f>
        <v>1000</v>
      </c>
      <c r="K48" s="78">
        <v>530000</v>
      </c>
      <c r="L48" s="78">
        <f>540000+5000</f>
        <v>545000</v>
      </c>
      <c r="M48" s="78">
        <v>550000</v>
      </c>
      <c r="N48" s="77"/>
      <c r="O48" s="77"/>
    </row>
    <row r="49" spans="3:15" ht="25.5" x14ac:dyDescent="0.2">
      <c r="C49" s="94" t="s">
        <v>399</v>
      </c>
      <c r="D49" s="92" t="s">
        <v>398</v>
      </c>
      <c r="E49" s="73" t="s">
        <v>284</v>
      </c>
      <c r="F49" s="81"/>
      <c r="G49" s="78">
        <f t="shared" ref="G49:M49" si="30">G50</f>
        <v>390000</v>
      </c>
      <c r="H49" s="78">
        <f t="shared" si="30"/>
        <v>81600.02</v>
      </c>
      <c r="I49" s="78">
        <f t="shared" si="30"/>
        <v>391000</v>
      </c>
      <c r="J49" s="78">
        <f t="shared" si="30"/>
        <v>1000</v>
      </c>
      <c r="K49" s="78">
        <f t="shared" si="30"/>
        <v>390000</v>
      </c>
      <c r="L49" s="78">
        <f t="shared" si="30"/>
        <v>405000</v>
      </c>
      <c r="M49" s="78">
        <f t="shared" si="30"/>
        <v>410000</v>
      </c>
      <c r="N49" s="77"/>
      <c r="O49" s="77"/>
    </row>
    <row r="50" spans="3:15" ht="25.5" x14ac:dyDescent="0.2">
      <c r="C50" s="94" t="s">
        <v>544</v>
      </c>
      <c r="D50" s="92" t="s">
        <v>545</v>
      </c>
      <c r="E50" s="73" t="s">
        <v>284</v>
      </c>
      <c r="F50" s="116"/>
      <c r="G50" s="78">
        <v>390000</v>
      </c>
      <c r="H50" s="78">
        <v>81600.02</v>
      </c>
      <c r="I50" s="78">
        <v>391000</v>
      </c>
      <c r="J50" s="84">
        <f t="shared" ref="J50" si="31">I50-G50</f>
        <v>1000</v>
      </c>
      <c r="K50" s="78">
        <v>390000</v>
      </c>
      <c r="L50" s="78">
        <v>405000</v>
      </c>
      <c r="M50" s="78">
        <v>410000</v>
      </c>
      <c r="N50" s="77"/>
      <c r="O50" s="77"/>
    </row>
    <row r="51" spans="3:15" ht="12.75" x14ac:dyDescent="0.2">
      <c r="C51" s="90" t="s">
        <v>88</v>
      </c>
      <c r="D51" s="91" t="s">
        <v>87</v>
      </c>
      <c r="E51" s="75"/>
      <c r="F51" s="83"/>
      <c r="G51" s="84">
        <f t="shared" ref="G51:M51" si="32">G52+G54</f>
        <v>9300000</v>
      </c>
      <c r="H51" s="84">
        <f t="shared" si="32"/>
        <v>13575596.83</v>
      </c>
      <c r="I51" s="84">
        <f t="shared" si="32"/>
        <v>22500000</v>
      </c>
      <c r="J51" s="78">
        <f t="shared" ref="J51" si="33">J52+J54</f>
        <v>0</v>
      </c>
      <c r="K51" s="84">
        <f t="shared" si="32"/>
        <v>22800000</v>
      </c>
      <c r="L51" s="84">
        <f t="shared" si="32"/>
        <v>23000000</v>
      </c>
      <c r="M51" s="84">
        <f t="shared" si="32"/>
        <v>23250000</v>
      </c>
      <c r="N51" s="77"/>
      <c r="O51" s="114"/>
    </row>
    <row r="52" spans="3:15" ht="29.25" customHeight="1" x14ac:dyDescent="0.2">
      <c r="C52" s="93" t="s">
        <v>605</v>
      </c>
      <c r="D52" s="69" t="s">
        <v>400</v>
      </c>
      <c r="E52" s="73" t="s">
        <v>284</v>
      </c>
      <c r="F52" s="116"/>
      <c r="G52" s="78">
        <v>9300000</v>
      </c>
      <c r="H52" s="78">
        <v>13575596.83</v>
      </c>
      <c r="I52" s="78">
        <v>22500000</v>
      </c>
      <c r="J52" s="84">
        <f t="shared" ref="J52" si="34">J53</f>
        <v>0</v>
      </c>
      <c r="K52" s="78">
        <v>22800000</v>
      </c>
      <c r="L52" s="78">
        <v>23000000</v>
      </c>
      <c r="M52" s="78">
        <v>23250000</v>
      </c>
      <c r="N52" s="77"/>
      <c r="O52" s="77"/>
    </row>
    <row r="53" spans="3:15" ht="25.5" x14ac:dyDescent="0.2">
      <c r="C53" s="93" t="s">
        <v>605</v>
      </c>
      <c r="D53" s="92" t="s">
        <v>401</v>
      </c>
      <c r="E53" s="76" t="s">
        <v>284</v>
      </c>
      <c r="F53" s="81"/>
      <c r="G53" s="78">
        <v>0</v>
      </c>
      <c r="H53" s="78">
        <v>0</v>
      </c>
      <c r="I53" s="78">
        <v>0</v>
      </c>
      <c r="J53" s="78">
        <f t="shared" ref="J53" si="35">I53-G53</f>
        <v>0</v>
      </c>
      <c r="K53" s="78">
        <v>0</v>
      </c>
      <c r="L53" s="78">
        <v>0</v>
      </c>
      <c r="M53" s="78">
        <v>0</v>
      </c>
      <c r="N53" s="77"/>
      <c r="O53" s="77"/>
    </row>
    <row r="54" spans="3:15" ht="33.75" customHeight="1" x14ac:dyDescent="0.2">
      <c r="C54" s="94" t="s">
        <v>91</v>
      </c>
      <c r="D54" s="69" t="s">
        <v>90</v>
      </c>
      <c r="E54" s="73"/>
      <c r="F54" s="81"/>
      <c r="G54" s="78">
        <v>0</v>
      </c>
      <c r="H54" s="78">
        <f t="shared" ref="H54:M54" si="36">H55+H56</f>
        <v>0</v>
      </c>
      <c r="I54" s="78">
        <f t="shared" si="36"/>
        <v>0</v>
      </c>
      <c r="J54" s="84">
        <f t="shared" si="36"/>
        <v>0</v>
      </c>
      <c r="K54" s="78">
        <f t="shared" si="36"/>
        <v>0</v>
      </c>
      <c r="L54" s="78">
        <f t="shared" si="36"/>
        <v>0</v>
      </c>
      <c r="M54" s="78">
        <f t="shared" si="36"/>
        <v>0</v>
      </c>
      <c r="N54" s="77"/>
      <c r="O54" s="77"/>
    </row>
    <row r="55" spans="3:15" ht="28.15" customHeight="1" x14ac:dyDescent="0.2">
      <c r="C55" s="94" t="s">
        <v>423</v>
      </c>
      <c r="D55" s="115" t="s">
        <v>424</v>
      </c>
      <c r="E55" s="73" t="s">
        <v>425</v>
      </c>
      <c r="F55" s="81"/>
      <c r="G55" s="78">
        <v>0</v>
      </c>
      <c r="H55" s="78">
        <v>0</v>
      </c>
      <c r="I55" s="78">
        <v>0</v>
      </c>
      <c r="J55" s="78">
        <f t="shared" ref="J55:J56" si="37">I55-G55</f>
        <v>0</v>
      </c>
      <c r="K55" s="78">
        <v>0</v>
      </c>
      <c r="L55" s="78">
        <v>0</v>
      </c>
      <c r="M55" s="78">
        <v>0</v>
      </c>
      <c r="N55" s="77"/>
      <c r="O55" s="77"/>
    </row>
    <row r="56" spans="3:15" ht="54.75" customHeight="1" x14ac:dyDescent="0.2">
      <c r="C56" s="94" t="s">
        <v>403</v>
      </c>
      <c r="D56" s="115" t="s">
        <v>402</v>
      </c>
      <c r="E56" s="73" t="s">
        <v>517</v>
      </c>
      <c r="F56" s="81"/>
      <c r="G56" s="78">
        <v>0</v>
      </c>
      <c r="H56" s="78">
        <v>0</v>
      </c>
      <c r="I56" s="78">
        <v>0</v>
      </c>
      <c r="J56" s="84">
        <f t="shared" si="37"/>
        <v>0</v>
      </c>
      <c r="K56" s="78">
        <v>0</v>
      </c>
      <c r="L56" s="78">
        <v>0</v>
      </c>
      <c r="M56" s="78">
        <v>0</v>
      </c>
      <c r="N56" s="77"/>
      <c r="O56" s="77"/>
    </row>
    <row r="57" spans="3:15" ht="42" customHeight="1" x14ac:dyDescent="0.2">
      <c r="C57" s="90" t="s">
        <v>431</v>
      </c>
      <c r="D57" s="91" t="s">
        <v>432</v>
      </c>
      <c r="E57" s="74" t="s">
        <v>284</v>
      </c>
      <c r="F57" s="81"/>
      <c r="G57" s="84">
        <f>G58</f>
        <v>0</v>
      </c>
      <c r="H57" s="84">
        <f t="shared" ref="H57:M58" si="38">H58</f>
        <v>0</v>
      </c>
      <c r="I57" s="84">
        <f t="shared" si="38"/>
        <v>0</v>
      </c>
      <c r="J57" s="78">
        <f t="shared" si="38"/>
        <v>0</v>
      </c>
      <c r="K57" s="84">
        <f t="shared" si="38"/>
        <v>0</v>
      </c>
      <c r="L57" s="84">
        <f t="shared" si="38"/>
        <v>0</v>
      </c>
      <c r="M57" s="84">
        <f t="shared" si="38"/>
        <v>0</v>
      </c>
      <c r="N57" s="77"/>
      <c r="O57" s="77"/>
    </row>
    <row r="58" spans="3:15" ht="24" customHeight="1" x14ac:dyDescent="0.2">
      <c r="C58" s="94" t="s">
        <v>433</v>
      </c>
      <c r="D58" s="69" t="s">
        <v>57</v>
      </c>
      <c r="E58" s="73"/>
      <c r="F58" s="81"/>
      <c r="G58" s="78">
        <f>G59</f>
        <v>0</v>
      </c>
      <c r="H58" s="78">
        <f t="shared" si="38"/>
        <v>0</v>
      </c>
      <c r="I58" s="78">
        <f t="shared" si="38"/>
        <v>0</v>
      </c>
      <c r="J58" s="84">
        <f t="shared" si="38"/>
        <v>0</v>
      </c>
      <c r="K58" s="78">
        <f t="shared" si="38"/>
        <v>0</v>
      </c>
      <c r="L58" s="78">
        <f t="shared" si="38"/>
        <v>0</v>
      </c>
      <c r="M58" s="78">
        <f t="shared" si="38"/>
        <v>0</v>
      </c>
      <c r="N58" s="77"/>
      <c r="O58" s="77"/>
    </row>
    <row r="59" spans="3:15" ht="41.45" customHeight="1" x14ac:dyDescent="0.2">
      <c r="C59" s="94" t="s">
        <v>542</v>
      </c>
      <c r="D59" s="115" t="s">
        <v>543</v>
      </c>
      <c r="E59" s="73" t="s">
        <v>284</v>
      </c>
      <c r="F59" s="81"/>
      <c r="G59" s="78">
        <v>0</v>
      </c>
      <c r="H59" s="78">
        <v>0</v>
      </c>
      <c r="I59" s="78">
        <v>0</v>
      </c>
      <c r="J59" s="78">
        <f t="shared" ref="J59" si="39">I59-G59</f>
        <v>0</v>
      </c>
      <c r="K59" s="78">
        <v>0</v>
      </c>
      <c r="L59" s="78">
        <v>0</v>
      </c>
      <c r="M59" s="78">
        <v>0</v>
      </c>
      <c r="N59" s="77"/>
      <c r="O59" s="77"/>
    </row>
    <row r="60" spans="3:15" ht="33.75" customHeight="1" x14ac:dyDescent="0.2">
      <c r="C60" s="90" t="s">
        <v>111</v>
      </c>
      <c r="D60" s="91" t="s">
        <v>110</v>
      </c>
      <c r="E60" s="75"/>
      <c r="F60" s="83"/>
      <c r="G60" s="84">
        <f>G61+G63+G65+G67+G69+G71</f>
        <v>40700000</v>
      </c>
      <c r="H60" s="84">
        <f>H61+H63+H65+H67+H69+H71</f>
        <v>25314934.59</v>
      </c>
      <c r="I60" s="84">
        <f>I61+I63+I65+I67+I69+I71</f>
        <v>38533000</v>
      </c>
      <c r="J60" s="84">
        <f t="shared" ref="J60:J62" si="40">I60-G60</f>
        <v>-2167000</v>
      </c>
      <c r="K60" s="84">
        <f t="shared" ref="K60:M60" si="41">K61+K63+K65+K67+K69+K71</f>
        <v>39065000</v>
      </c>
      <c r="L60" s="84">
        <f t="shared" si="41"/>
        <v>40486800</v>
      </c>
      <c r="M60" s="84">
        <f t="shared" si="41"/>
        <v>41930000</v>
      </c>
      <c r="N60" s="77"/>
      <c r="O60" s="77"/>
    </row>
    <row r="61" spans="3:15" ht="51.75" customHeight="1" x14ac:dyDescent="0.2">
      <c r="C61" s="94" t="s">
        <v>113</v>
      </c>
      <c r="D61" s="92" t="s">
        <v>112</v>
      </c>
      <c r="E61" s="73"/>
      <c r="F61" s="81"/>
      <c r="G61" s="78">
        <f>SUM(G62)</f>
        <v>250000</v>
      </c>
      <c r="H61" s="78">
        <f t="shared" ref="H61:M61" si="42">H62</f>
        <v>0</v>
      </c>
      <c r="I61" s="78">
        <f t="shared" si="42"/>
        <v>440000</v>
      </c>
      <c r="J61" s="78">
        <f t="shared" si="42"/>
        <v>190000</v>
      </c>
      <c r="K61" s="78">
        <f t="shared" si="42"/>
        <v>440000</v>
      </c>
      <c r="L61" s="78">
        <f t="shared" si="42"/>
        <v>450000</v>
      </c>
      <c r="M61" s="78">
        <f t="shared" si="42"/>
        <v>460000</v>
      </c>
      <c r="N61" s="77"/>
      <c r="O61" s="77"/>
    </row>
    <row r="62" spans="3:15" ht="64.5" customHeight="1" x14ac:dyDescent="0.2">
      <c r="C62" s="94" t="s">
        <v>540</v>
      </c>
      <c r="D62" s="92" t="s">
        <v>541</v>
      </c>
      <c r="E62" s="73" t="s">
        <v>618</v>
      </c>
      <c r="F62" s="81"/>
      <c r="G62" s="78">
        <v>250000</v>
      </c>
      <c r="H62" s="78">
        <v>0</v>
      </c>
      <c r="I62" s="78">
        <v>440000</v>
      </c>
      <c r="J62" s="84">
        <f t="shared" si="40"/>
        <v>190000</v>
      </c>
      <c r="K62" s="78">
        <v>440000</v>
      </c>
      <c r="L62" s="78">
        <v>450000</v>
      </c>
      <c r="M62" s="78">
        <v>460000</v>
      </c>
      <c r="N62" s="77"/>
      <c r="O62" s="77"/>
    </row>
    <row r="63" spans="3:15" ht="45.75" customHeight="1" x14ac:dyDescent="0.2">
      <c r="C63" s="94" t="s">
        <v>650</v>
      </c>
      <c r="D63" s="92" t="s">
        <v>649</v>
      </c>
      <c r="E63" s="73"/>
      <c r="F63" s="81"/>
      <c r="G63" s="78">
        <f>SUM(G64)</f>
        <v>1150000</v>
      </c>
      <c r="H63" s="78">
        <f>H64</f>
        <v>655236.57999999996</v>
      </c>
      <c r="I63" s="78">
        <f t="shared" ref="I63:M63" si="43">SUM(I64)</f>
        <v>1149000</v>
      </c>
      <c r="J63" s="78">
        <f t="shared" si="43"/>
        <v>-1000</v>
      </c>
      <c r="K63" s="78">
        <f t="shared" si="43"/>
        <v>900000</v>
      </c>
      <c r="L63" s="78">
        <f t="shared" si="43"/>
        <v>970800</v>
      </c>
      <c r="M63" s="78">
        <f t="shared" si="43"/>
        <v>973000</v>
      </c>
      <c r="N63" s="77"/>
      <c r="O63" s="77"/>
    </row>
    <row r="64" spans="3:15" ht="67.5" customHeight="1" x14ac:dyDescent="0.2">
      <c r="C64" s="94" t="s">
        <v>538</v>
      </c>
      <c r="D64" s="92" t="s">
        <v>539</v>
      </c>
      <c r="E64" s="73" t="s">
        <v>619</v>
      </c>
      <c r="F64" s="81"/>
      <c r="G64" s="78">
        <v>1150000</v>
      </c>
      <c r="H64" s="78">
        <v>655236.57999999996</v>
      </c>
      <c r="I64" s="78">
        <v>1149000</v>
      </c>
      <c r="J64" s="84">
        <f t="shared" ref="J64:J66" si="44">I64-G64</f>
        <v>-1000</v>
      </c>
      <c r="K64" s="78">
        <v>900000</v>
      </c>
      <c r="L64" s="78">
        <f>950000+20800</f>
        <v>970800</v>
      </c>
      <c r="M64" s="78">
        <f>1000000-27000</f>
        <v>973000</v>
      </c>
      <c r="N64" s="77"/>
      <c r="O64" s="77"/>
    </row>
    <row r="65" spans="3:15" ht="56.25" customHeight="1" x14ac:dyDescent="0.2">
      <c r="C65" s="94" t="s">
        <v>651</v>
      </c>
      <c r="D65" s="92" t="s">
        <v>117</v>
      </c>
      <c r="E65" s="73"/>
      <c r="F65" s="116"/>
      <c r="G65" s="78">
        <f>SUM(G66)</f>
        <v>50000</v>
      </c>
      <c r="H65" s="78">
        <f t="shared" ref="H65" si="45">H66</f>
        <v>73930.149999999994</v>
      </c>
      <c r="I65" s="78">
        <f t="shared" ref="I65:M65" si="46">SUM(I66)</f>
        <v>74000</v>
      </c>
      <c r="J65" s="78">
        <f t="shared" si="46"/>
        <v>24000</v>
      </c>
      <c r="K65" s="78">
        <f t="shared" si="46"/>
        <v>75000</v>
      </c>
      <c r="L65" s="78">
        <f t="shared" si="46"/>
        <v>76000</v>
      </c>
      <c r="M65" s="78">
        <f t="shared" si="46"/>
        <v>77000</v>
      </c>
      <c r="N65" s="77"/>
      <c r="O65" s="77"/>
    </row>
    <row r="66" spans="3:15" ht="56.25" customHeight="1" x14ac:dyDescent="0.2">
      <c r="C66" s="94" t="s">
        <v>536</v>
      </c>
      <c r="D66" s="92" t="s">
        <v>537</v>
      </c>
      <c r="E66" s="73" t="s">
        <v>619</v>
      </c>
      <c r="F66" s="116"/>
      <c r="G66" s="78">
        <v>50000</v>
      </c>
      <c r="H66" s="78">
        <v>73930.149999999994</v>
      </c>
      <c r="I66" s="78">
        <v>74000</v>
      </c>
      <c r="J66" s="78">
        <f t="shared" si="44"/>
        <v>24000</v>
      </c>
      <c r="K66" s="78">
        <v>75000</v>
      </c>
      <c r="L66" s="78">
        <v>76000</v>
      </c>
      <c r="M66" s="78">
        <v>77000</v>
      </c>
      <c r="N66" s="77"/>
      <c r="O66" s="77"/>
    </row>
    <row r="67" spans="3:15" ht="58.5" customHeight="1" x14ac:dyDescent="0.2">
      <c r="C67" s="94" t="s">
        <v>653</v>
      </c>
      <c r="D67" s="115" t="s">
        <v>652</v>
      </c>
      <c r="E67" s="117"/>
      <c r="F67" s="118"/>
      <c r="G67" s="87">
        <f>SUM(G68)</f>
        <v>24000000</v>
      </c>
      <c r="H67" s="87">
        <f>H68</f>
        <v>14455586.93</v>
      </c>
      <c r="I67" s="87">
        <f t="shared" ref="I67:M67" si="47">I68</f>
        <v>21500000</v>
      </c>
      <c r="J67" s="84">
        <f t="shared" si="47"/>
        <v>-2500000</v>
      </c>
      <c r="K67" s="87">
        <f t="shared" si="47"/>
        <v>21500000</v>
      </c>
      <c r="L67" s="87">
        <f t="shared" si="47"/>
        <v>22000000</v>
      </c>
      <c r="M67" s="87">
        <f t="shared" si="47"/>
        <v>22500000</v>
      </c>
      <c r="N67" s="77"/>
      <c r="O67" s="77"/>
    </row>
    <row r="68" spans="3:15" ht="62.25" customHeight="1" x14ac:dyDescent="0.2">
      <c r="C68" s="94" t="s">
        <v>620</v>
      </c>
      <c r="D68" s="92" t="s">
        <v>621</v>
      </c>
      <c r="E68" s="73" t="s">
        <v>619</v>
      </c>
      <c r="F68" s="118"/>
      <c r="G68" s="87">
        <v>24000000</v>
      </c>
      <c r="H68" s="87">
        <v>14455586.93</v>
      </c>
      <c r="I68" s="87">
        <v>21500000</v>
      </c>
      <c r="J68" s="78">
        <f t="shared" ref="J68" si="48">I68-G68</f>
        <v>-2500000</v>
      </c>
      <c r="K68" s="87">
        <f>21000000+500000</f>
        <v>21500000</v>
      </c>
      <c r="L68" s="87">
        <f>20500000+1500000</f>
        <v>22000000</v>
      </c>
      <c r="M68" s="87">
        <f>20000000+2500000</f>
        <v>22500000</v>
      </c>
      <c r="N68" s="77"/>
      <c r="O68" s="77"/>
    </row>
    <row r="69" spans="3:15" ht="51.75" customHeight="1" x14ac:dyDescent="0.2">
      <c r="C69" s="94" t="s">
        <v>462</v>
      </c>
      <c r="D69" s="92" t="s">
        <v>463</v>
      </c>
      <c r="E69" s="73"/>
      <c r="F69" s="73"/>
      <c r="G69" s="86">
        <f>SUM(G70)</f>
        <v>0</v>
      </c>
      <c r="H69" s="86">
        <f>H70</f>
        <v>447.13</v>
      </c>
      <c r="I69" s="86">
        <f t="shared" ref="I69:M69" si="49">I70</f>
        <v>0</v>
      </c>
      <c r="J69" s="78">
        <f t="shared" si="49"/>
        <v>0</v>
      </c>
      <c r="K69" s="86">
        <f t="shared" si="49"/>
        <v>0</v>
      </c>
      <c r="L69" s="86">
        <f t="shared" si="49"/>
        <v>0</v>
      </c>
      <c r="M69" s="86">
        <f t="shared" si="49"/>
        <v>0</v>
      </c>
      <c r="N69" s="77"/>
      <c r="O69" s="77"/>
    </row>
    <row r="70" spans="3:15" ht="69" customHeight="1" x14ac:dyDescent="0.2">
      <c r="C70" s="81" t="s">
        <v>535</v>
      </c>
      <c r="D70" s="92" t="s">
        <v>608</v>
      </c>
      <c r="E70" s="73" t="s">
        <v>464</v>
      </c>
      <c r="F70" s="73"/>
      <c r="G70" s="86">
        <v>0</v>
      </c>
      <c r="H70" s="86">
        <v>447.13</v>
      </c>
      <c r="I70" s="86">
        <v>0</v>
      </c>
      <c r="J70" s="84">
        <f t="shared" ref="J70" si="50">I70-G70</f>
        <v>0</v>
      </c>
      <c r="K70" s="86">
        <v>0</v>
      </c>
      <c r="L70" s="86">
        <v>0</v>
      </c>
      <c r="M70" s="86">
        <v>0</v>
      </c>
      <c r="N70" s="77"/>
      <c r="O70" s="77"/>
    </row>
    <row r="71" spans="3:15" ht="45.75" customHeight="1" x14ac:dyDescent="0.2">
      <c r="C71" s="94" t="s">
        <v>262</v>
      </c>
      <c r="D71" s="92" t="s">
        <v>261</v>
      </c>
      <c r="E71" s="73"/>
      <c r="F71" s="73"/>
      <c r="G71" s="86">
        <f>G72+G73</f>
        <v>15250000</v>
      </c>
      <c r="H71" s="86">
        <f t="shared" ref="H71:M71" si="51">H72+H73</f>
        <v>10129733.799999999</v>
      </c>
      <c r="I71" s="86">
        <f t="shared" si="51"/>
        <v>15370000</v>
      </c>
      <c r="J71" s="86">
        <f t="shared" si="51"/>
        <v>120000</v>
      </c>
      <c r="K71" s="86">
        <f t="shared" si="51"/>
        <v>16150000</v>
      </c>
      <c r="L71" s="86">
        <f t="shared" si="51"/>
        <v>16990000</v>
      </c>
      <c r="M71" s="86">
        <f t="shared" si="51"/>
        <v>17920000</v>
      </c>
      <c r="N71" s="77"/>
      <c r="O71" s="77"/>
    </row>
    <row r="72" spans="3:15" ht="66" customHeight="1" x14ac:dyDescent="0.2">
      <c r="C72" s="81" t="s">
        <v>669</v>
      </c>
      <c r="D72" s="92" t="s">
        <v>670</v>
      </c>
      <c r="E72" s="73" t="s">
        <v>673</v>
      </c>
      <c r="F72" s="119"/>
      <c r="G72" s="86">
        <v>13300000</v>
      </c>
      <c r="H72" s="86">
        <v>8946387.1999999993</v>
      </c>
      <c r="I72" s="86">
        <v>13525000</v>
      </c>
      <c r="J72" s="78">
        <f>I72-G72</f>
        <v>225000</v>
      </c>
      <c r="K72" s="86">
        <v>14300000</v>
      </c>
      <c r="L72" s="86">
        <v>15100000</v>
      </c>
      <c r="M72" s="86">
        <v>16000000</v>
      </c>
      <c r="N72" s="77"/>
      <c r="O72" s="77"/>
    </row>
    <row r="73" spans="3:15" ht="68.25" customHeight="1" x14ac:dyDescent="0.2">
      <c r="C73" s="81" t="s">
        <v>671</v>
      </c>
      <c r="D73" s="92" t="s">
        <v>672</v>
      </c>
      <c r="E73" s="73" t="s">
        <v>572</v>
      </c>
      <c r="F73" s="119"/>
      <c r="G73" s="86">
        <v>1950000</v>
      </c>
      <c r="H73" s="86">
        <v>1183346.6000000001</v>
      </c>
      <c r="I73" s="86">
        <v>1845000</v>
      </c>
      <c r="J73" s="78">
        <f>I73-G73</f>
        <v>-105000</v>
      </c>
      <c r="K73" s="86">
        <f>250000+1600000</f>
        <v>1850000</v>
      </c>
      <c r="L73" s="86">
        <f>190000+1700000</f>
        <v>1890000</v>
      </c>
      <c r="M73" s="86">
        <f>120000+1800000</f>
        <v>1920000</v>
      </c>
      <c r="N73" s="77"/>
      <c r="O73" s="77"/>
    </row>
    <row r="74" spans="3:15" ht="12.75" x14ac:dyDescent="0.2">
      <c r="C74" s="90" t="s">
        <v>129</v>
      </c>
      <c r="D74" s="91" t="s">
        <v>128</v>
      </c>
      <c r="E74" s="76"/>
      <c r="F74" s="81"/>
      <c r="G74" s="84">
        <f>G75+G76+G77+G78+G79+G80+G81</f>
        <v>1500000</v>
      </c>
      <c r="H74" s="84">
        <f t="shared" ref="H74:M74" si="52">H75+H76+H77+H78+H79+H80+H81</f>
        <v>1506735.3399999999</v>
      </c>
      <c r="I74" s="84">
        <f t="shared" si="52"/>
        <v>2150000</v>
      </c>
      <c r="J74" s="84">
        <f t="shared" si="52"/>
        <v>650000</v>
      </c>
      <c r="K74" s="84">
        <f t="shared" si="52"/>
        <v>0</v>
      </c>
      <c r="L74" s="84">
        <f t="shared" si="52"/>
        <v>0</v>
      </c>
      <c r="M74" s="84">
        <f t="shared" si="52"/>
        <v>0</v>
      </c>
      <c r="N74" s="77"/>
      <c r="O74" s="77"/>
    </row>
    <row r="75" spans="3:15" ht="38.25" x14ac:dyDescent="0.2">
      <c r="C75" s="94" t="s">
        <v>560</v>
      </c>
      <c r="D75" s="92" t="s">
        <v>561</v>
      </c>
      <c r="E75" s="120" t="s">
        <v>318</v>
      </c>
      <c r="F75" s="81"/>
      <c r="G75" s="78">
        <v>0</v>
      </c>
      <c r="H75" s="78">
        <v>0</v>
      </c>
      <c r="I75" s="78">
        <v>0</v>
      </c>
      <c r="J75" s="78">
        <f t="shared" ref="J75:J81" si="53">I75-G75</f>
        <v>0</v>
      </c>
      <c r="K75" s="78">
        <v>0</v>
      </c>
      <c r="L75" s="78">
        <v>0</v>
      </c>
      <c r="M75" s="78">
        <v>0</v>
      </c>
      <c r="N75" s="77"/>
      <c r="O75" s="77"/>
    </row>
    <row r="76" spans="3:15" ht="48.75" customHeight="1" x14ac:dyDescent="0.2">
      <c r="C76" s="94" t="s">
        <v>557</v>
      </c>
      <c r="D76" s="92" t="s">
        <v>622</v>
      </c>
      <c r="E76" s="120" t="s">
        <v>318</v>
      </c>
      <c r="F76" s="81"/>
      <c r="G76" s="78">
        <v>1184950</v>
      </c>
      <c r="H76" s="78">
        <v>355926.85</v>
      </c>
      <c r="I76" s="78">
        <v>595950</v>
      </c>
      <c r="J76" s="78">
        <f t="shared" si="53"/>
        <v>-589000</v>
      </c>
      <c r="K76" s="78">
        <v>0</v>
      </c>
      <c r="L76" s="78">
        <v>0</v>
      </c>
      <c r="M76" s="78">
        <v>0</v>
      </c>
      <c r="N76" s="77"/>
      <c r="O76" s="77"/>
    </row>
    <row r="77" spans="3:15" ht="43.5" customHeight="1" x14ac:dyDescent="0.2">
      <c r="C77" s="94" t="s">
        <v>558</v>
      </c>
      <c r="D77" s="92" t="s">
        <v>559</v>
      </c>
      <c r="E77" s="120" t="s">
        <v>318</v>
      </c>
      <c r="F77" s="81"/>
      <c r="G77" s="78">
        <v>0</v>
      </c>
      <c r="H77" s="78">
        <v>997074.38</v>
      </c>
      <c r="I77" s="78">
        <v>0</v>
      </c>
      <c r="J77" s="78">
        <f t="shared" si="53"/>
        <v>0</v>
      </c>
      <c r="K77" s="78">
        <v>0</v>
      </c>
      <c r="L77" s="78">
        <v>0</v>
      </c>
      <c r="M77" s="78">
        <v>0</v>
      </c>
      <c r="N77" s="77"/>
      <c r="O77" s="77"/>
    </row>
    <row r="78" spans="3:15" ht="42.75" customHeight="1" x14ac:dyDescent="0.2">
      <c r="C78" s="94" t="s">
        <v>137</v>
      </c>
      <c r="D78" s="92" t="s">
        <v>136</v>
      </c>
      <c r="E78" s="120" t="s">
        <v>318</v>
      </c>
      <c r="F78" s="81"/>
      <c r="G78" s="78">
        <v>107000</v>
      </c>
      <c r="H78" s="78">
        <v>0</v>
      </c>
      <c r="I78" s="78">
        <v>1288000</v>
      </c>
      <c r="J78" s="78">
        <f t="shared" ref="J78:J79" si="54">I78-G78</f>
        <v>1181000</v>
      </c>
      <c r="K78" s="78">
        <v>0</v>
      </c>
      <c r="L78" s="78">
        <v>0</v>
      </c>
      <c r="M78" s="78">
        <v>0</v>
      </c>
      <c r="N78" s="77"/>
      <c r="O78" s="77"/>
    </row>
    <row r="79" spans="3:15" ht="43.5" customHeight="1" x14ac:dyDescent="0.2">
      <c r="C79" s="94" t="s">
        <v>562</v>
      </c>
      <c r="D79" s="92" t="s">
        <v>563</v>
      </c>
      <c r="E79" s="120" t="s">
        <v>318</v>
      </c>
      <c r="F79" s="81"/>
      <c r="G79" s="78">
        <v>0</v>
      </c>
      <c r="H79" s="78">
        <v>0</v>
      </c>
      <c r="I79" s="78">
        <v>0</v>
      </c>
      <c r="J79" s="78">
        <f t="shared" si="54"/>
        <v>0</v>
      </c>
      <c r="K79" s="78">
        <v>0</v>
      </c>
      <c r="L79" s="78">
        <v>0</v>
      </c>
      <c r="M79" s="78">
        <v>0</v>
      </c>
      <c r="N79" s="77"/>
      <c r="O79" s="77"/>
    </row>
    <row r="80" spans="3:15" ht="53.25" customHeight="1" x14ac:dyDescent="0.2">
      <c r="C80" s="94" t="s">
        <v>623</v>
      </c>
      <c r="D80" s="92" t="s">
        <v>624</v>
      </c>
      <c r="E80" s="120" t="s">
        <v>318</v>
      </c>
      <c r="F80" s="81"/>
      <c r="G80" s="78">
        <v>208000</v>
      </c>
      <c r="H80" s="78">
        <v>153733.69</v>
      </c>
      <c r="I80" s="78">
        <v>266000</v>
      </c>
      <c r="J80" s="78">
        <f t="shared" si="53"/>
        <v>58000</v>
      </c>
      <c r="K80" s="78">
        <v>0</v>
      </c>
      <c r="L80" s="78">
        <v>0</v>
      </c>
      <c r="M80" s="78">
        <v>0</v>
      </c>
      <c r="N80" s="77"/>
      <c r="O80" s="77"/>
    </row>
    <row r="81" spans="3:16" ht="62.25" customHeight="1" x14ac:dyDescent="0.2">
      <c r="C81" s="94" t="s">
        <v>143</v>
      </c>
      <c r="D81" s="92" t="s">
        <v>142</v>
      </c>
      <c r="E81" s="120" t="s">
        <v>318</v>
      </c>
      <c r="F81" s="81"/>
      <c r="G81" s="78">
        <v>50</v>
      </c>
      <c r="H81" s="78">
        <v>0.42</v>
      </c>
      <c r="I81" s="78">
        <v>50</v>
      </c>
      <c r="J81" s="78">
        <f t="shared" si="53"/>
        <v>0</v>
      </c>
      <c r="K81" s="78">
        <v>0</v>
      </c>
      <c r="L81" s="78">
        <v>0</v>
      </c>
      <c r="M81" s="78">
        <v>0</v>
      </c>
      <c r="N81" s="77"/>
      <c r="O81" s="77"/>
    </row>
    <row r="82" spans="3:16" ht="12.75" x14ac:dyDescent="0.2">
      <c r="C82" s="90" t="s">
        <v>165</v>
      </c>
      <c r="D82" s="91" t="s">
        <v>164</v>
      </c>
      <c r="E82" s="75"/>
      <c r="F82" s="83"/>
      <c r="G82" s="84">
        <f>G83+G86</f>
        <v>7520000</v>
      </c>
      <c r="H82" s="84">
        <f>H83+H86</f>
        <v>9459840.0500000007</v>
      </c>
      <c r="I82" s="84">
        <f t="shared" ref="I82:J82" si="55">I83+I86</f>
        <v>11112500</v>
      </c>
      <c r="J82" s="84">
        <f t="shared" si="55"/>
        <v>3592500</v>
      </c>
      <c r="K82" s="84">
        <f>K83+K86</f>
        <v>8495000</v>
      </c>
      <c r="L82" s="84">
        <f t="shared" ref="L82:M82" si="56">L83+L86</f>
        <v>9163200</v>
      </c>
      <c r="M82" s="84">
        <f t="shared" si="56"/>
        <v>9710000</v>
      </c>
      <c r="N82" s="77"/>
      <c r="O82" s="77"/>
    </row>
    <row r="83" spans="3:16" ht="12.75" x14ac:dyDescent="0.2">
      <c r="C83" s="94" t="s">
        <v>167</v>
      </c>
      <c r="D83" s="92" t="s">
        <v>166</v>
      </c>
      <c r="E83" s="76"/>
      <c r="F83" s="81"/>
      <c r="G83" s="78">
        <f>G84</f>
        <v>70000</v>
      </c>
      <c r="H83" s="78">
        <f>H84</f>
        <v>46118.97</v>
      </c>
      <c r="I83" s="78">
        <f t="shared" ref="I83:M83" si="57">I84</f>
        <v>70000</v>
      </c>
      <c r="J83" s="78">
        <f t="shared" si="57"/>
        <v>0</v>
      </c>
      <c r="K83" s="78">
        <f t="shared" si="57"/>
        <v>80000</v>
      </c>
      <c r="L83" s="78">
        <f t="shared" si="57"/>
        <v>90000</v>
      </c>
      <c r="M83" s="78">
        <f t="shared" si="57"/>
        <v>100000</v>
      </c>
      <c r="N83" s="77"/>
      <c r="O83" s="114"/>
    </row>
    <row r="84" spans="3:16" ht="12.75" x14ac:dyDescent="0.2">
      <c r="C84" s="94" t="s">
        <v>169</v>
      </c>
      <c r="D84" s="92" t="s">
        <v>168</v>
      </c>
      <c r="E84" s="73"/>
      <c r="F84" s="81"/>
      <c r="G84" s="78">
        <f>G85</f>
        <v>70000</v>
      </c>
      <c r="H84" s="78">
        <f t="shared" ref="H84:M84" si="58">H85</f>
        <v>46118.97</v>
      </c>
      <c r="I84" s="78">
        <f t="shared" si="58"/>
        <v>70000</v>
      </c>
      <c r="J84" s="84">
        <f t="shared" si="58"/>
        <v>0</v>
      </c>
      <c r="K84" s="78">
        <f t="shared" si="58"/>
        <v>80000</v>
      </c>
      <c r="L84" s="78">
        <f t="shared" si="58"/>
        <v>90000</v>
      </c>
      <c r="M84" s="78">
        <f t="shared" si="58"/>
        <v>100000</v>
      </c>
      <c r="N84" s="77"/>
      <c r="O84" s="77"/>
      <c r="P84" s="121"/>
    </row>
    <row r="85" spans="3:16" ht="51.75" customHeight="1" x14ac:dyDescent="0.2">
      <c r="C85" s="94" t="s">
        <v>533</v>
      </c>
      <c r="D85" s="92" t="s">
        <v>534</v>
      </c>
      <c r="E85" s="73" t="s">
        <v>523</v>
      </c>
      <c r="F85" s="81"/>
      <c r="G85" s="78">
        <v>70000</v>
      </c>
      <c r="H85" s="78">
        <v>46118.97</v>
      </c>
      <c r="I85" s="78">
        <v>70000</v>
      </c>
      <c r="J85" s="78">
        <f t="shared" ref="J85" si="59">I85-G85</f>
        <v>0</v>
      </c>
      <c r="K85" s="78">
        <v>80000</v>
      </c>
      <c r="L85" s="78">
        <v>90000</v>
      </c>
      <c r="M85" s="78">
        <v>100000</v>
      </c>
      <c r="N85" s="77"/>
      <c r="O85" s="77"/>
    </row>
    <row r="86" spans="3:16" ht="12.75" x14ac:dyDescent="0.2">
      <c r="C86" s="94" t="s">
        <v>173</v>
      </c>
      <c r="D86" s="92" t="s">
        <v>172</v>
      </c>
      <c r="E86" s="76"/>
      <c r="F86" s="81"/>
      <c r="G86" s="78">
        <f>G87+G89</f>
        <v>7450000</v>
      </c>
      <c r="H86" s="78">
        <f>H87+H89</f>
        <v>9413721.0800000001</v>
      </c>
      <c r="I86" s="78">
        <f>I87+I89</f>
        <v>11042500</v>
      </c>
      <c r="J86" s="84">
        <f t="shared" ref="J86:J93" si="60">I86-G86</f>
        <v>3592500</v>
      </c>
      <c r="K86" s="78">
        <f t="shared" ref="K86:M86" si="61">K87+K89</f>
        <v>8415000</v>
      </c>
      <c r="L86" s="78">
        <f t="shared" si="61"/>
        <v>9073200</v>
      </c>
      <c r="M86" s="78">
        <f t="shared" si="61"/>
        <v>9610000</v>
      </c>
      <c r="N86" s="77"/>
      <c r="O86" s="77"/>
    </row>
    <row r="87" spans="3:16" ht="25.5" x14ac:dyDescent="0.2">
      <c r="C87" s="94" t="s">
        <v>375</v>
      </c>
      <c r="D87" s="92" t="s">
        <v>334</v>
      </c>
      <c r="E87" s="76"/>
      <c r="F87" s="81"/>
      <c r="G87" s="78">
        <f>G88</f>
        <v>5800000</v>
      </c>
      <c r="H87" s="78">
        <f t="shared" ref="H87:I87" si="62">H88</f>
        <v>5614114.3399999999</v>
      </c>
      <c r="I87" s="78">
        <f t="shared" si="62"/>
        <v>7500000</v>
      </c>
      <c r="J87" s="84">
        <f t="shared" si="60"/>
        <v>1700000</v>
      </c>
      <c r="K87" s="78">
        <f>K93+K88</f>
        <v>8215000</v>
      </c>
      <c r="L87" s="78">
        <f>L93+L88</f>
        <v>8873200</v>
      </c>
      <c r="M87" s="78">
        <f>M93+M88</f>
        <v>9410000</v>
      </c>
      <c r="N87" s="77"/>
      <c r="O87" s="77"/>
    </row>
    <row r="88" spans="3:16" ht="129" customHeight="1" x14ac:dyDescent="0.2">
      <c r="C88" s="94" t="s">
        <v>532</v>
      </c>
      <c r="D88" s="92" t="s">
        <v>573</v>
      </c>
      <c r="E88" s="73" t="s">
        <v>572</v>
      </c>
      <c r="F88" s="81"/>
      <c r="G88" s="78">
        <v>5800000</v>
      </c>
      <c r="H88" s="78">
        <v>5614114.3399999999</v>
      </c>
      <c r="I88" s="78">
        <v>7500000</v>
      </c>
      <c r="J88" s="84">
        <f t="shared" si="60"/>
        <v>1700000</v>
      </c>
      <c r="K88" s="78">
        <f>7000000+1200000+15000</f>
        <v>8215000</v>
      </c>
      <c r="L88" s="78">
        <f>7500000+1300000+73200</f>
        <v>8873200</v>
      </c>
      <c r="M88" s="78">
        <f>8000000+1400000+10000</f>
        <v>9410000</v>
      </c>
      <c r="N88" s="77"/>
      <c r="O88" s="77"/>
    </row>
    <row r="89" spans="3:16" ht="12.75" x14ac:dyDescent="0.2">
      <c r="C89" s="94" t="s">
        <v>175</v>
      </c>
      <c r="D89" s="92" t="s">
        <v>174</v>
      </c>
      <c r="E89" s="76"/>
      <c r="F89" s="81"/>
      <c r="G89" s="78">
        <f>G90+G91+G92+G93</f>
        <v>1650000</v>
      </c>
      <c r="H89" s="78">
        <f>H90+H91+H92+H93</f>
        <v>3799606.7399999998</v>
      </c>
      <c r="I89" s="78">
        <f t="shared" ref="I89:M89" si="63">I90+I91+I92+I93</f>
        <v>3542500</v>
      </c>
      <c r="J89" s="78">
        <f t="shared" si="63"/>
        <v>1892500</v>
      </c>
      <c r="K89" s="78">
        <f t="shared" si="63"/>
        <v>200000</v>
      </c>
      <c r="L89" s="78">
        <f t="shared" si="63"/>
        <v>200000</v>
      </c>
      <c r="M89" s="78">
        <f t="shared" si="63"/>
        <v>200000</v>
      </c>
      <c r="N89" s="77"/>
      <c r="O89" s="77"/>
    </row>
    <row r="90" spans="3:16" ht="57.75" customHeight="1" x14ac:dyDescent="0.2">
      <c r="C90" s="94" t="s">
        <v>683</v>
      </c>
      <c r="D90" s="92" t="s">
        <v>684</v>
      </c>
      <c r="E90" s="73" t="s">
        <v>685</v>
      </c>
      <c r="F90" s="81"/>
      <c r="G90" s="78">
        <v>0</v>
      </c>
      <c r="H90" s="78">
        <v>33248.550000000003</v>
      </c>
      <c r="I90" s="78">
        <v>33250</v>
      </c>
      <c r="J90" s="78">
        <f t="shared" ref="J90" si="64">I90-G90</f>
        <v>33250</v>
      </c>
      <c r="K90" s="78">
        <v>0</v>
      </c>
      <c r="L90" s="78">
        <v>0</v>
      </c>
      <c r="M90" s="78">
        <v>0</v>
      </c>
      <c r="N90" s="122" t="s">
        <v>468</v>
      </c>
      <c r="O90" s="77"/>
    </row>
    <row r="91" spans="3:16" ht="168.75" customHeight="1" x14ac:dyDescent="0.2">
      <c r="C91" s="94" t="s">
        <v>674</v>
      </c>
      <c r="D91" s="92" t="s">
        <v>675</v>
      </c>
      <c r="E91" s="73" t="s">
        <v>679</v>
      </c>
      <c r="F91" s="81"/>
      <c r="G91" s="78">
        <v>100000</v>
      </c>
      <c r="H91" s="78">
        <v>3634342.23</v>
      </c>
      <c r="I91" s="78">
        <v>3300628</v>
      </c>
      <c r="J91" s="78">
        <f t="shared" ref="J91:J92" si="65">I91-G91</f>
        <v>3200628</v>
      </c>
      <c r="K91" s="78">
        <v>100000</v>
      </c>
      <c r="L91" s="78">
        <v>100000</v>
      </c>
      <c r="M91" s="78">
        <v>100000</v>
      </c>
      <c r="N91" s="122" t="s">
        <v>468</v>
      </c>
      <c r="O91" s="77"/>
    </row>
    <row r="92" spans="3:16" ht="50.25" customHeight="1" x14ac:dyDescent="0.2">
      <c r="C92" s="94" t="s">
        <v>676</v>
      </c>
      <c r="D92" s="92" t="s">
        <v>677</v>
      </c>
      <c r="E92" s="73" t="s">
        <v>678</v>
      </c>
      <c r="F92" s="81"/>
      <c r="G92" s="78">
        <v>1000000</v>
      </c>
      <c r="H92" s="78">
        <v>48991.96</v>
      </c>
      <c r="I92" s="78">
        <v>100000</v>
      </c>
      <c r="J92" s="78">
        <f t="shared" si="65"/>
        <v>-900000</v>
      </c>
      <c r="K92" s="78">
        <v>100000</v>
      </c>
      <c r="L92" s="78">
        <v>100000</v>
      </c>
      <c r="M92" s="78">
        <v>100000</v>
      </c>
      <c r="N92" s="122" t="s">
        <v>468</v>
      </c>
      <c r="O92" s="77"/>
    </row>
    <row r="93" spans="3:16" ht="50.25" customHeight="1" x14ac:dyDescent="0.2">
      <c r="C93" s="94" t="s">
        <v>680</v>
      </c>
      <c r="D93" s="92" t="s">
        <v>681</v>
      </c>
      <c r="E93" s="73" t="s">
        <v>682</v>
      </c>
      <c r="F93" s="81"/>
      <c r="G93" s="78">
        <v>550000</v>
      </c>
      <c r="H93" s="78">
        <v>83024</v>
      </c>
      <c r="I93" s="78">
        <v>108622</v>
      </c>
      <c r="J93" s="78">
        <f t="shared" si="60"/>
        <v>-441378</v>
      </c>
      <c r="K93" s="78">
        <v>0</v>
      </c>
      <c r="L93" s="78">
        <v>0</v>
      </c>
      <c r="M93" s="78">
        <v>0</v>
      </c>
      <c r="N93" s="122" t="s">
        <v>468</v>
      </c>
      <c r="O93" s="77"/>
    </row>
    <row r="94" spans="3:16" ht="30" customHeight="1" x14ac:dyDescent="0.2">
      <c r="C94" s="90" t="s">
        <v>179</v>
      </c>
      <c r="D94" s="91" t="s">
        <v>178</v>
      </c>
      <c r="E94" s="75"/>
      <c r="F94" s="83"/>
      <c r="G94" s="84">
        <f t="shared" ref="G94:I94" si="66">G95+G98</f>
        <v>4180000</v>
      </c>
      <c r="H94" s="84">
        <f t="shared" si="66"/>
        <v>3141043.62</v>
      </c>
      <c r="I94" s="84">
        <f t="shared" si="66"/>
        <v>4297500</v>
      </c>
      <c r="J94" s="84">
        <f t="shared" ref="J94" si="67">J95+J98</f>
        <v>117500</v>
      </c>
      <c r="K94" s="84">
        <f>K95+K98</f>
        <v>2800000</v>
      </c>
      <c r="L94" s="84">
        <f t="shared" ref="L94:M94" si="68">L95+L98</f>
        <v>2710000</v>
      </c>
      <c r="M94" s="84">
        <f t="shared" si="68"/>
        <v>2670000</v>
      </c>
      <c r="N94" s="77"/>
      <c r="O94" s="77"/>
    </row>
    <row r="95" spans="3:16" ht="88.9" customHeight="1" x14ac:dyDescent="0.2">
      <c r="C95" s="94" t="s">
        <v>181</v>
      </c>
      <c r="D95" s="92" t="s">
        <v>180</v>
      </c>
      <c r="E95" s="76"/>
      <c r="F95" s="81"/>
      <c r="G95" s="78">
        <f>G96+G97</f>
        <v>4000000</v>
      </c>
      <c r="H95" s="78">
        <f>H96+H97</f>
        <v>2885400.9</v>
      </c>
      <c r="I95" s="78">
        <f>I96+I97</f>
        <v>4000000</v>
      </c>
      <c r="J95" s="78">
        <f>J96+J97</f>
        <v>0</v>
      </c>
      <c r="K95" s="78">
        <f t="shared" ref="K95:M95" si="69">K96</f>
        <v>2500000</v>
      </c>
      <c r="L95" s="78">
        <f t="shared" si="69"/>
        <v>2400000</v>
      </c>
      <c r="M95" s="78">
        <f t="shared" si="69"/>
        <v>2350000</v>
      </c>
      <c r="N95" s="77"/>
      <c r="O95" s="77"/>
    </row>
    <row r="96" spans="3:16" ht="101.25" customHeight="1" x14ac:dyDescent="0.2">
      <c r="C96" s="94" t="s">
        <v>530</v>
      </c>
      <c r="D96" s="115" t="s">
        <v>531</v>
      </c>
      <c r="E96" s="73" t="s">
        <v>619</v>
      </c>
      <c r="F96" s="81"/>
      <c r="G96" s="78">
        <v>4000000</v>
      </c>
      <c r="H96" s="78">
        <v>2885400.9</v>
      </c>
      <c r="I96" s="78">
        <v>4000000</v>
      </c>
      <c r="J96" s="84">
        <f t="shared" ref="J96:J97" si="70">I96-G96</f>
        <v>0</v>
      </c>
      <c r="K96" s="78">
        <v>2500000</v>
      </c>
      <c r="L96" s="78">
        <v>2400000</v>
      </c>
      <c r="M96" s="78">
        <v>2350000</v>
      </c>
      <c r="N96" s="77"/>
      <c r="O96" s="77"/>
    </row>
    <row r="97" spans="3:15" ht="56.25" customHeight="1" x14ac:dyDescent="0.2">
      <c r="C97" s="94" t="s">
        <v>528</v>
      </c>
      <c r="D97" s="115" t="s">
        <v>447</v>
      </c>
      <c r="E97" s="73" t="s">
        <v>529</v>
      </c>
      <c r="F97" s="81"/>
      <c r="G97" s="78">
        <v>0</v>
      </c>
      <c r="H97" s="78">
        <v>0</v>
      </c>
      <c r="I97" s="78">
        <v>0</v>
      </c>
      <c r="J97" s="78">
        <f t="shared" si="70"/>
        <v>0</v>
      </c>
      <c r="K97" s="78">
        <v>0</v>
      </c>
      <c r="L97" s="78">
        <v>0</v>
      </c>
      <c r="M97" s="78">
        <v>0</v>
      </c>
      <c r="N97" s="77"/>
      <c r="O97" s="77"/>
    </row>
    <row r="98" spans="3:15" ht="27" customHeight="1" x14ac:dyDescent="0.2">
      <c r="C98" s="94" t="s">
        <v>185</v>
      </c>
      <c r="D98" s="92" t="s">
        <v>184</v>
      </c>
      <c r="E98" s="76"/>
      <c r="F98" s="81"/>
      <c r="G98" s="78">
        <f>G99</f>
        <v>180000</v>
      </c>
      <c r="H98" s="78">
        <f t="shared" ref="H98:M99" si="71">H99</f>
        <v>255642.72</v>
      </c>
      <c r="I98" s="78">
        <f t="shared" si="71"/>
        <v>297500</v>
      </c>
      <c r="J98" s="84">
        <f t="shared" si="71"/>
        <v>117500</v>
      </c>
      <c r="K98" s="78">
        <f t="shared" si="71"/>
        <v>300000</v>
      </c>
      <c r="L98" s="78">
        <f t="shared" si="71"/>
        <v>310000</v>
      </c>
      <c r="M98" s="78">
        <f t="shared" si="71"/>
        <v>320000</v>
      </c>
      <c r="N98" s="77"/>
      <c r="O98" s="77"/>
    </row>
    <row r="99" spans="3:15" ht="41.25" customHeight="1" x14ac:dyDescent="0.2">
      <c r="C99" s="94" t="s">
        <v>404</v>
      </c>
      <c r="D99" s="92" t="s">
        <v>405</v>
      </c>
      <c r="E99" s="76"/>
      <c r="F99" s="81"/>
      <c r="G99" s="78">
        <f>G100</f>
        <v>180000</v>
      </c>
      <c r="H99" s="78">
        <f>H100</f>
        <v>255642.72</v>
      </c>
      <c r="I99" s="78">
        <f t="shared" si="71"/>
        <v>297500</v>
      </c>
      <c r="J99" s="78">
        <f t="shared" si="71"/>
        <v>117500</v>
      </c>
      <c r="K99" s="78">
        <f t="shared" si="71"/>
        <v>300000</v>
      </c>
      <c r="L99" s="78">
        <f t="shared" si="71"/>
        <v>310000</v>
      </c>
      <c r="M99" s="78">
        <f t="shared" si="71"/>
        <v>320000</v>
      </c>
      <c r="N99" s="77"/>
      <c r="O99" s="77"/>
    </row>
    <row r="100" spans="3:15" ht="90.75" customHeight="1" x14ac:dyDescent="0.2">
      <c r="C100" s="94" t="s">
        <v>526</v>
      </c>
      <c r="D100" s="115" t="s">
        <v>527</v>
      </c>
      <c r="E100" s="73" t="s">
        <v>619</v>
      </c>
      <c r="F100" s="81"/>
      <c r="G100" s="78">
        <v>180000</v>
      </c>
      <c r="H100" s="78">
        <v>255642.72</v>
      </c>
      <c r="I100" s="78">
        <v>297500</v>
      </c>
      <c r="J100" s="84">
        <f t="shared" ref="J100" si="72">I100-G100</f>
        <v>117500</v>
      </c>
      <c r="K100" s="78">
        <f>290000+10000</f>
        <v>300000</v>
      </c>
      <c r="L100" s="78">
        <f>290000+20000</f>
        <v>310000</v>
      </c>
      <c r="M100" s="78">
        <f>290000+30000</f>
        <v>320000</v>
      </c>
      <c r="N100" s="77"/>
      <c r="O100" s="77"/>
    </row>
    <row r="101" spans="3:15" ht="12.75" x14ac:dyDescent="0.2">
      <c r="C101" s="90" t="s">
        <v>191</v>
      </c>
      <c r="D101" s="91" t="s">
        <v>190</v>
      </c>
      <c r="E101" s="75"/>
      <c r="F101" s="83"/>
      <c r="G101" s="84">
        <f>G102+G118+G121+G126</f>
        <v>2100000</v>
      </c>
      <c r="H101" s="84">
        <f t="shared" ref="H101:I101" si="73">H102+H118+H121+H126</f>
        <v>1834734.7599999998</v>
      </c>
      <c r="I101" s="84">
        <f t="shared" si="73"/>
        <v>2500000</v>
      </c>
      <c r="J101" s="78">
        <f t="shared" ref="J101:J103" si="74">I101-G101</f>
        <v>400000</v>
      </c>
      <c r="K101" s="84">
        <f t="shared" ref="K101:M101" si="75">K102+K118+K121+K126</f>
        <v>3690000</v>
      </c>
      <c r="L101" s="84">
        <f t="shared" si="75"/>
        <v>3690000</v>
      </c>
      <c r="M101" s="84">
        <f t="shared" si="75"/>
        <v>3690000</v>
      </c>
      <c r="N101" s="77"/>
      <c r="O101" s="77"/>
    </row>
    <row r="102" spans="3:15" ht="39.6" customHeight="1" x14ac:dyDescent="0.2">
      <c r="C102" s="94" t="s">
        <v>411</v>
      </c>
      <c r="D102" s="92" t="s">
        <v>412</v>
      </c>
      <c r="E102" s="76"/>
      <c r="F102" s="81"/>
      <c r="G102" s="78">
        <f>SUM(G103:G117)</f>
        <v>1300000</v>
      </c>
      <c r="H102" s="78">
        <f>SUM(H103:H117)</f>
        <v>1070469.4099999999</v>
      </c>
      <c r="I102" s="78">
        <f>SUM(I103:I117)</f>
        <v>1477000</v>
      </c>
      <c r="J102" s="78">
        <f t="shared" ref="J102:M102" si="76">SUM(J103:J117)</f>
        <v>177000</v>
      </c>
      <c r="K102" s="78">
        <f t="shared" si="76"/>
        <v>2880000</v>
      </c>
      <c r="L102" s="78">
        <f t="shared" si="76"/>
        <v>2880000</v>
      </c>
      <c r="M102" s="78">
        <f t="shared" si="76"/>
        <v>2880000</v>
      </c>
      <c r="N102" s="77"/>
      <c r="O102" s="77"/>
    </row>
    <row r="103" spans="3:15" ht="93" customHeight="1" x14ac:dyDescent="0.2">
      <c r="C103" s="94" t="s">
        <v>434</v>
      </c>
      <c r="D103" s="92" t="s">
        <v>565</v>
      </c>
      <c r="E103" s="73" t="s">
        <v>564</v>
      </c>
      <c r="F103" s="81"/>
      <c r="G103" s="78">
        <v>127100</v>
      </c>
      <c r="H103" s="78">
        <v>185620.65</v>
      </c>
      <c r="I103" s="78">
        <v>217100</v>
      </c>
      <c r="J103" s="78">
        <f t="shared" si="74"/>
        <v>90000</v>
      </c>
      <c r="K103" s="78">
        <v>587000</v>
      </c>
      <c r="L103" s="78">
        <v>587000</v>
      </c>
      <c r="M103" s="78">
        <v>587000</v>
      </c>
      <c r="N103" s="77"/>
      <c r="O103" s="77"/>
    </row>
    <row r="104" spans="3:15" ht="68.25" hidden="1" customHeight="1" x14ac:dyDescent="0.2">
      <c r="C104" s="94" t="s">
        <v>609</v>
      </c>
      <c r="D104" s="92" t="s">
        <v>610</v>
      </c>
      <c r="E104" s="73" t="s">
        <v>564</v>
      </c>
      <c r="F104" s="81"/>
      <c r="G104" s="78">
        <v>0</v>
      </c>
      <c r="H104" s="78">
        <v>0</v>
      </c>
      <c r="I104" s="78">
        <v>0</v>
      </c>
      <c r="J104" s="78">
        <f t="shared" ref="J104:J116" si="77">I104-G104</f>
        <v>0</v>
      </c>
      <c r="K104" s="78">
        <v>0</v>
      </c>
      <c r="L104" s="78">
        <v>0</v>
      </c>
      <c r="M104" s="78">
        <v>0</v>
      </c>
      <c r="N104" s="77"/>
      <c r="O104" s="77"/>
    </row>
    <row r="105" spans="3:15" ht="78" customHeight="1" x14ac:dyDescent="0.2">
      <c r="C105" s="94" t="s">
        <v>435</v>
      </c>
      <c r="D105" s="92" t="s">
        <v>566</v>
      </c>
      <c r="E105" s="73" t="s">
        <v>564</v>
      </c>
      <c r="F105" s="81"/>
      <c r="G105" s="78">
        <v>407500</v>
      </c>
      <c r="H105" s="78">
        <v>194681.45</v>
      </c>
      <c r="I105" s="78">
        <v>416000</v>
      </c>
      <c r="J105" s="84">
        <f t="shared" ref="J105:J106" si="78">I105-G105</f>
        <v>8500</v>
      </c>
      <c r="K105" s="78">
        <v>812200</v>
      </c>
      <c r="L105" s="78">
        <v>812200</v>
      </c>
      <c r="M105" s="78">
        <v>812200</v>
      </c>
      <c r="N105" s="77"/>
      <c r="O105" s="77"/>
    </row>
    <row r="106" spans="3:15" ht="78" hidden="1" customHeight="1" x14ac:dyDescent="0.2">
      <c r="C106" s="94" t="s">
        <v>614</v>
      </c>
      <c r="D106" s="92" t="s">
        <v>615</v>
      </c>
      <c r="E106" s="73" t="s">
        <v>564</v>
      </c>
      <c r="F106" s="81"/>
      <c r="G106" s="78">
        <v>0</v>
      </c>
      <c r="H106" s="78">
        <v>0</v>
      </c>
      <c r="I106" s="78">
        <v>0</v>
      </c>
      <c r="J106" s="84">
        <f t="shared" si="78"/>
        <v>0</v>
      </c>
      <c r="K106" s="78"/>
      <c r="L106" s="78"/>
      <c r="M106" s="78"/>
      <c r="N106" s="77"/>
      <c r="O106" s="77"/>
    </row>
    <row r="107" spans="3:15" ht="78" hidden="1" customHeight="1" x14ac:dyDescent="0.2">
      <c r="C107" s="94" t="s">
        <v>611</v>
      </c>
      <c r="D107" s="92" t="s">
        <v>612</v>
      </c>
      <c r="E107" s="73" t="s">
        <v>613</v>
      </c>
      <c r="F107" s="81"/>
      <c r="G107" s="78">
        <v>0</v>
      </c>
      <c r="H107" s="78">
        <v>0</v>
      </c>
      <c r="I107" s="78">
        <v>0</v>
      </c>
      <c r="J107" s="84">
        <f t="shared" si="77"/>
        <v>0</v>
      </c>
      <c r="K107" s="78"/>
      <c r="L107" s="78"/>
      <c r="M107" s="78"/>
      <c r="N107" s="77"/>
      <c r="O107" s="77"/>
    </row>
    <row r="108" spans="3:15" ht="107.45" customHeight="1" x14ac:dyDescent="0.2">
      <c r="C108" s="94" t="s">
        <v>436</v>
      </c>
      <c r="D108" s="92" t="s">
        <v>413</v>
      </c>
      <c r="E108" s="73" t="s">
        <v>567</v>
      </c>
      <c r="F108" s="81"/>
      <c r="G108" s="78">
        <v>53600</v>
      </c>
      <c r="H108" s="78">
        <v>25300.03</v>
      </c>
      <c r="I108" s="78">
        <v>59100</v>
      </c>
      <c r="J108" s="78">
        <f t="shared" ref="J108" si="79">I108-G108</f>
        <v>5500</v>
      </c>
      <c r="K108" s="78">
        <v>94300</v>
      </c>
      <c r="L108" s="78">
        <v>94300</v>
      </c>
      <c r="M108" s="78">
        <v>94300</v>
      </c>
      <c r="N108" s="77"/>
      <c r="O108" s="77"/>
    </row>
    <row r="109" spans="3:15" ht="50.25" hidden="1" customHeight="1" x14ac:dyDescent="0.2">
      <c r="C109" s="94" t="s">
        <v>606</v>
      </c>
      <c r="D109" s="92" t="s">
        <v>413</v>
      </c>
      <c r="E109" s="73" t="s">
        <v>607</v>
      </c>
      <c r="F109" s="81"/>
      <c r="G109" s="78">
        <v>0</v>
      </c>
      <c r="H109" s="78">
        <v>0</v>
      </c>
      <c r="I109" s="78">
        <v>0</v>
      </c>
      <c r="J109" s="78">
        <f t="shared" si="77"/>
        <v>0</v>
      </c>
      <c r="K109" s="78"/>
      <c r="L109" s="78"/>
      <c r="M109" s="78"/>
      <c r="N109" s="77"/>
      <c r="O109" s="77"/>
    </row>
    <row r="110" spans="3:15" ht="59.25" customHeight="1" x14ac:dyDescent="0.2">
      <c r="C110" s="94" t="s">
        <v>437</v>
      </c>
      <c r="D110" s="92" t="s">
        <v>625</v>
      </c>
      <c r="E110" s="73" t="s">
        <v>626</v>
      </c>
      <c r="F110" s="81"/>
      <c r="G110" s="78">
        <v>20300</v>
      </c>
      <c r="H110" s="78">
        <v>12000</v>
      </c>
      <c r="I110" s="78">
        <v>20300</v>
      </c>
      <c r="J110" s="84">
        <f t="shared" si="77"/>
        <v>0</v>
      </c>
      <c r="K110" s="78">
        <v>44000</v>
      </c>
      <c r="L110" s="78">
        <v>44000</v>
      </c>
      <c r="M110" s="78">
        <v>44000</v>
      </c>
      <c r="N110" s="77"/>
      <c r="O110" s="77"/>
    </row>
    <row r="111" spans="3:15" ht="57" customHeight="1" x14ac:dyDescent="0.2">
      <c r="C111" s="94" t="s">
        <v>448</v>
      </c>
      <c r="D111" s="92" t="s">
        <v>449</v>
      </c>
      <c r="E111" s="73" t="s">
        <v>626</v>
      </c>
      <c r="F111" s="81"/>
      <c r="G111" s="78">
        <v>2700</v>
      </c>
      <c r="H111" s="78">
        <v>0</v>
      </c>
      <c r="I111" s="78">
        <v>2700</v>
      </c>
      <c r="J111" s="78">
        <f t="shared" si="77"/>
        <v>0</v>
      </c>
      <c r="K111" s="78">
        <v>2000</v>
      </c>
      <c r="L111" s="78">
        <v>2000</v>
      </c>
      <c r="M111" s="78">
        <v>2000</v>
      </c>
      <c r="N111" s="77"/>
      <c r="O111" s="77"/>
    </row>
    <row r="112" spans="3:15" ht="61.5" customHeight="1" x14ac:dyDescent="0.2">
      <c r="C112" s="94" t="s">
        <v>438</v>
      </c>
      <c r="D112" s="92" t="s">
        <v>426</v>
      </c>
      <c r="E112" s="73" t="s">
        <v>626</v>
      </c>
      <c r="F112" s="81"/>
      <c r="G112" s="78">
        <v>5000</v>
      </c>
      <c r="H112" s="78">
        <v>14.53</v>
      </c>
      <c r="I112" s="78">
        <v>5000</v>
      </c>
      <c r="J112" s="84">
        <f t="shared" si="77"/>
        <v>0</v>
      </c>
      <c r="K112" s="78">
        <v>14000</v>
      </c>
      <c r="L112" s="78">
        <v>14000</v>
      </c>
      <c r="M112" s="78">
        <v>14000</v>
      </c>
      <c r="N112" s="77"/>
      <c r="O112" s="77"/>
    </row>
    <row r="113" spans="3:15" ht="75" customHeight="1" x14ac:dyDescent="0.2">
      <c r="C113" s="94" t="s">
        <v>439</v>
      </c>
      <c r="D113" s="92" t="s">
        <v>627</v>
      </c>
      <c r="E113" s="73" t="s">
        <v>626</v>
      </c>
      <c r="F113" s="81"/>
      <c r="G113" s="78">
        <v>24500</v>
      </c>
      <c r="H113" s="78">
        <v>25623.7</v>
      </c>
      <c r="I113" s="78">
        <v>24500</v>
      </c>
      <c r="J113" s="78">
        <f t="shared" si="77"/>
        <v>0</v>
      </c>
      <c r="K113" s="78">
        <v>21700</v>
      </c>
      <c r="L113" s="78">
        <v>21700</v>
      </c>
      <c r="M113" s="78">
        <v>21700</v>
      </c>
      <c r="N113" s="77"/>
      <c r="O113" s="77"/>
    </row>
    <row r="114" spans="3:15" ht="51" x14ac:dyDescent="0.2">
      <c r="C114" s="94" t="s">
        <v>440</v>
      </c>
      <c r="D114" s="92" t="s">
        <v>427</v>
      </c>
      <c r="E114" s="73" t="s">
        <v>628</v>
      </c>
      <c r="F114" s="81"/>
      <c r="G114" s="78">
        <v>15200</v>
      </c>
      <c r="H114" s="78">
        <v>11556.35</v>
      </c>
      <c r="I114" s="78">
        <v>15200</v>
      </c>
      <c r="J114" s="84">
        <f t="shared" si="77"/>
        <v>0</v>
      </c>
      <c r="K114" s="78">
        <v>97600</v>
      </c>
      <c r="L114" s="78">
        <v>97600</v>
      </c>
      <c r="M114" s="78">
        <v>97600</v>
      </c>
      <c r="N114" s="77"/>
      <c r="O114" s="77"/>
    </row>
    <row r="115" spans="3:15" ht="115.5" customHeight="1" x14ac:dyDescent="0.2">
      <c r="C115" s="94" t="s">
        <v>441</v>
      </c>
      <c r="D115" s="92" t="s">
        <v>569</v>
      </c>
      <c r="E115" s="73" t="s">
        <v>568</v>
      </c>
      <c r="F115" s="81"/>
      <c r="G115" s="78">
        <v>186700</v>
      </c>
      <c r="H115" s="78">
        <v>222748.44</v>
      </c>
      <c r="I115" s="78">
        <v>236700</v>
      </c>
      <c r="J115" s="78">
        <f t="shared" si="77"/>
        <v>50000</v>
      </c>
      <c r="K115" s="78">
        <f>50000+274300</f>
        <v>324300</v>
      </c>
      <c r="L115" s="78">
        <f t="shared" ref="L115:M115" si="80">50000+274300</f>
        <v>324300</v>
      </c>
      <c r="M115" s="78">
        <f t="shared" si="80"/>
        <v>324300</v>
      </c>
      <c r="N115" s="77"/>
      <c r="O115" s="77"/>
    </row>
    <row r="116" spans="3:15" ht="93.75" customHeight="1" x14ac:dyDescent="0.2">
      <c r="C116" s="94" t="s">
        <v>442</v>
      </c>
      <c r="D116" s="92" t="s">
        <v>571</v>
      </c>
      <c r="E116" s="73" t="s">
        <v>564</v>
      </c>
      <c r="F116" s="81"/>
      <c r="G116" s="78">
        <v>432400</v>
      </c>
      <c r="H116" s="78">
        <v>350524.48</v>
      </c>
      <c r="I116" s="78">
        <v>455400</v>
      </c>
      <c r="J116" s="84">
        <f t="shared" si="77"/>
        <v>23000</v>
      </c>
      <c r="K116" s="78">
        <v>815900</v>
      </c>
      <c r="L116" s="78">
        <v>815900</v>
      </c>
      <c r="M116" s="78">
        <v>815900</v>
      </c>
      <c r="N116" s="77"/>
      <c r="O116" s="77"/>
    </row>
    <row r="117" spans="3:15" ht="87.75" customHeight="1" x14ac:dyDescent="0.2">
      <c r="C117" s="94" t="s">
        <v>466</v>
      </c>
      <c r="D117" s="92" t="s">
        <v>465</v>
      </c>
      <c r="E117" s="73" t="s">
        <v>629</v>
      </c>
      <c r="F117" s="81"/>
      <c r="G117" s="78">
        <v>25000</v>
      </c>
      <c r="H117" s="78">
        <v>42399.78</v>
      </c>
      <c r="I117" s="78">
        <v>25000</v>
      </c>
      <c r="J117" s="84">
        <f t="shared" ref="J117" si="81">I117-G117</f>
        <v>0</v>
      </c>
      <c r="K117" s="78">
        <v>67000</v>
      </c>
      <c r="L117" s="78">
        <v>67000</v>
      </c>
      <c r="M117" s="78">
        <v>67000</v>
      </c>
      <c r="N117" s="77"/>
      <c r="O117" s="77"/>
    </row>
    <row r="118" spans="3:15" ht="71.25" customHeight="1" x14ac:dyDescent="0.2">
      <c r="C118" s="94" t="s">
        <v>428</v>
      </c>
      <c r="D118" s="92" t="s">
        <v>429</v>
      </c>
      <c r="E118" s="73"/>
      <c r="F118" s="81"/>
      <c r="G118" s="78">
        <f t="shared" ref="G118:M118" si="82">G119+G120</f>
        <v>100000</v>
      </c>
      <c r="H118" s="78">
        <f t="shared" si="82"/>
        <v>248998.66</v>
      </c>
      <c r="I118" s="78">
        <f t="shared" si="82"/>
        <v>292000</v>
      </c>
      <c r="J118" s="78">
        <f t="shared" si="82"/>
        <v>192000</v>
      </c>
      <c r="K118" s="78">
        <f t="shared" si="82"/>
        <v>200000</v>
      </c>
      <c r="L118" s="78">
        <f>L119+L120</f>
        <v>200000</v>
      </c>
      <c r="M118" s="78">
        <f t="shared" si="82"/>
        <v>200000</v>
      </c>
      <c r="N118" s="77"/>
      <c r="O118" s="77"/>
    </row>
    <row r="119" spans="3:15" ht="132" customHeight="1" x14ac:dyDescent="0.2">
      <c r="C119" s="94" t="s">
        <v>524</v>
      </c>
      <c r="D119" s="92" t="s">
        <v>525</v>
      </c>
      <c r="E119" s="73" t="s">
        <v>655</v>
      </c>
      <c r="F119" s="81"/>
      <c r="G119" s="78">
        <v>100000</v>
      </c>
      <c r="H119" s="78">
        <v>248998.66</v>
      </c>
      <c r="I119" s="78">
        <v>292000</v>
      </c>
      <c r="J119" s="84">
        <f t="shared" ref="J119:J120" si="83">I119-G119</f>
        <v>192000</v>
      </c>
      <c r="K119" s="78">
        <v>200000</v>
      </c>
      <c r="L119" s="78">
        <v>200000</v>
      </c>
      <c r="M119" s="78">
        <v>200000</v>
      </c>
      <c r="N119" s="77"/>
      <c r="O119" s="77"/>
    </row>
    <row r="120" spans="3:15" ht="38.25" x14ac:dyDescent="0.2">
      <c r="C120" s="94" t="s">
        <v>521</v>
      </c>
      <c r="D120" s="92" t="s">
        <v>522</v>
      </c>
      <c r="E120" s="73" t="s">
        <v>523</v>
      </c>
      <c r="F120" s="81"/>
      <c r="G120" s="78">
        <v>0</v>
      </c>
      <c r="H120" s="78">
        <v>0</v>
      </c>
      <c r="I120" s="78"/>
      <c r="J120" s="78">
        <f t="shared" si="83"/>
        <v>0</v>
      </c>
      <c r="K120" s="78">
        <v>0</v>
      </c>
      <c r="L120" s="78">
        <v>0</v>
      </c>
      <c r="M120" s="78">
        <v>0</v>
      </c>
      <c r="N120" s="77"/>
      <c r="O120" s="77"/>
    </row>
    <row r="121" spans="3:15" ht="12.75" x14ac:dyDescent="0.2">
      <c r="C121" s="94" t="s">
        <v>414</v>
      </c>
      <c r="D121" s="92" t="s">
        <v>415</v>
      </c>
      <c r="E121" s="76"/>
      <c r="F121" s="81"/>
      <c r="G121" s="78">
        <f>SUM(G122:G125)</f>
        <v>200000</v>
      </c>
      <c r="H121" s="78">
        <f t="shared" ref="H121:M121" si="84">SUM(H122:H125)</f>
        <v>83953.739999999991</v>
      </c>
      <c r="I121" s="78">
        <f t="shared" si="84"/>
        <v>131000</v>
      </c>
      <c r="J121" s="78">
        <f t="shared" si="84"/>
        <v>-69000</v>
      </c>
      <c r="K121" s="78">
        <f t="shared" si="84"/>
        <v>110000</v>
      </c>
      <c r="L121" s="78">
        <f t="shared" si="84"/>
        <v>110000</v>
      </c>
      <c r="M121" s="78">
        <f t="shared" si="84"/>
        <v>110000</v>
      </c>
      <c r="N121" s="77"/>
      <c r="O121" s="77"/>
    </row>
    <row r="122" spans="3:15" ht="82.15" customHeight="1" x14ac:dyDescent="0.2">
      <c r="C122" s="94" t="s">
        <v>520</v>
      </c>
      <c r="D122" s="92" t="s">
        <v>518</v>
      </c>
      <c r="E122" s="73" t="s">
        <v>519</v>
      </c>
      <c r="F122" s="81"/>
      <c r="G122" s="78">
        <v>0</v>
      </c>
      <c r="H122" s="78">
        <v>4232.43</v>
      </c>
      <c r="I122" s="78">
        <v>4200</v>
      </c>
      <c r="J122" s="78">
        <f t="shared" ref="J122" si="85">I122-G122</f>
        <v>4200</v>
      </c>
      <c r="K122" s="78">
        <v>0</v>
      </c>
      <c r="L122" s="78">
        <v>0</v>
      </c>
      <c r="M122" s="78">
        <v>0</v>
      </c>
      <c r="N122" s="77"/>
      <c r="O122" s="77"/>
    </row>
    <row r="123" spans="3:15" ht="82.15" customHeight="1" x14ac:dyDescent="0.2">
      <c r="C123" s="94" t="s">
        <v>658</v>
      </c>
      <c r="D123" s="92" t="s">
        <v>659</v>
      </c>
      <c r="E123" s="73" t="s">
        <v>519</v>
      </c>
      <c r="F123" s="81"/>
      <c r="G123" s="78">
        <v>0</v>
      </c>
      <c r="H123" s="78">
        <v>8650</v>
      </c>
      <c r="I123" s="78">
        <v>8700</v>
      </c>
      <c r="J123" s="78">
        <f t="shared" ref="J123:J125" si="86">I123-G123</f>
        <v>8700</v>
      </c>
      <c r="K123" s="78">
        <v>0</v>
      </c>
      <c r="L123" s="78">
        <v>0</v>
      </c>
      <c r="M123" s="78">
        <v>0</v>
      </c>
      <c r="N123" s="77"/>
      <c r="O123" s="77"/>
    </row>
    <row r="124" spans="3:15" ht="68.25" customHeight="1" x14ac:dyDescent="0.2">
      <c r="C124" s="94" t="s">
        <v>443</v>
      </c>
      <c r="D124" s="92" t="s">
        <v>416</v>
      </c>
      <c r="E124" s="73" t="s">
        <v>599</v>
      </c>
      <c r="F124" s="81"/>
      <c r="G124" s="78">
        <v>200000</v>
      </c>
      <c r="H124" s="78">
        <v>70921.31</v>
      </c>
      <c r="I124" s="78">
        <v>118100</v>
      </c>
      <c r="J124" s="84">
        <f t="shared" si="86"/>
        <v>-81900</v>
      </c>
      <c r="K124" s="78">
        <v>110000</v>
      </c>
      <c r="L124" s="78">
        <v>110000</v>
      </c>
      <c r="M124" s="78">
        <v>110000</v>
      </c>
      <c r="N124" s="77"/>
      <c r="O124" s="77"/>
    </row>
    <row r="125" spans="3:15" ht="51" hidden="1" x14ac:dyDescent="0.2">
      <c r="C125" s="94" t="s">
        <v>668</v>
      </c>
      <c r="D125" s="92" t="s">
        <v>417</v>
      </c>
      <c r="E125" s="73" t="s">
        <v>284</v>
      </c>
      <c r="F125" s="81"/>
      <c r="G125" s="78">
        <v>0</v>
      </c>
      <c r="H125" s="78">
        <v>150</v>
      </c>
      <c r="I125" s="78">
        <v>0</v>
      </c>
      <c r="J125" s="78">
        <f t="shared" si="86"/>
        <v>0</v>
      </c>
      <c r="K125" s="78">
        <v>0</v>
      </c>
      <c r="L125" s="78">
        <v>0</v>
      </c>
      <c r="M125" s="78">
        <v>0</v>
      </c>
      <c r="N125" s="77"/>
      <c r="O125" s="77"/>
    </row>
    <row r="126" spans="3:15" ht="12.75" x14ac:dyDescent="0.2">
      <c r="C126" s="92" t="s">
        <v>444</v>
      </c>
      <c r="D126" s="92" t="s">
        <v>445</v>
      </c>
      <c r="E126" s="76"/>
      <c r="F126" s="81"/>
      <c r="G126" s="78">
        <f>G127+G128</f>
        <v>500000</v>
      </c>
      <c r="H126" s="78">
        <f>H127+H128</f>
        <v>431312.95</v>
      </c>
      <c r="I126" s="78">
        <f t="shared" ref="I126:M126" si="87">SUM(I128:I128)</f>
        <v>600000</v>
      </c>
      <c r="J126" s="84">
        <f t="shared" si="87"/>
        <v>100000</v>
      </c>
      <c r="K126" s="78">
        <f t="shared" si="87"/>
        <v>500000</v>
      </c>
      <c r="L126" s="78">
        <f t="shared" si="87"/>
        <v>500000</v>
      </c>
      <c r="M126" s="78">
        <f t="shared" si="87"/>
        <v>500000</v>
      </c>
      <c r="N126" s="77"/>
      <c r="O126" s="77"/>
    </row>
    <row r="127" spans="3:15" ht="79.5" hidden="1" customHeight="1" x14ac:dyDescent="0.2">
      <c r="C127" s="94" t="s">
        <v>654</v>
      </c>
      <c r="D127" s="92" t="s">
        <v>471</v>
      </c>
      <c r="E127" s="73" t="s">
        <v>464</v>
      </c>
      <c r="F127" s="81"/>
      <c r="G127" s="78">
        <v>0</v>
      </c>
      <c r="H127" s="78">
        <v>0</v>
      </c>
      <c r="I127" s="78">
        <v>0</v>
      </c>
      <c r="J127" s="78">
        <f t="shared" ref="J127:J128" si="88">I127-G127</f>
        <v>0</v>
      </c>
      <c r="K127" s="78">
        <v>0</v>
      </c>
      <c r="L127" s="78">
        <v>0</v>
      </c>
      <c r="M127" s="78">
        <v>0</v>
      </c>
      <c r="N127" s="77"/>
      <c r="O127" s="77"/>
    </row>
    <row r="128" spans="3:15" ht="49.5" customHeight="1" x14ac:dyDescent="0.2">
      <c r="C128" s="94" t="s">
        <v>446</v>
      </c>
      <c r="D128" s="92" t="s">
        <v>600</v>
      </c>
      <c r="E128" s="73" t="s">
        <v>517</v>
      </c>
      <c r="F128" s="81"/>
      <c r="G128" s="78">
        <v>500000</v>
      </c>
      <c r="H128" s="78">
        <v>431312.95</v>
      </c>
      <c r="I128" s="78">
        <v>600000</v>
      </c>
      <c r="J128" s="84">
        <f t="shared" si="88"/>
        <v>100000</v>
      </c>
      <c r="K128" s="78">
        <v>500000</v>
      </c>
      <c r="L128" s="78">
        <v>500000</v>
      </c>
      <c r="M128" s="78">
        <v>500000</v>
      </c>
      <c r="N128" s="77"/>
      <c r="O128" s="77"/>
    </row>
    <row r="129" spans="3:15" ht="24" customHeight="1" x14ac:dyDescent="0.2">
      <c r="C129" s="90" t="s">
        <v>225</v>
      </c>
      <c r="D129" s="91" t="s">
        <v>224</v>
      </c>
      <c r="E129" s="76"/>
      <c r="F129" s="81"/>
      <c r="G129" s="84">
        <f>G130+G132</f>
        <v>7000</v>
      </c>
      <c r="H129" s="84">
        <f>H130+H132</f>
        <v>4992.05</v>
      </c>
      <c r="I129" s="84">
        <f>I130+I132</f>
        <v>5000</v>
      </c>
      <c r="J129" s="78">
        <f>J130+J132</f>
        <v>-2000</v>
      </c>
      <c r="K129" s="84">
        <f t="shared" ref="K129:M129" si="89">K130+K132</f>
        <v>0</v>
      </c>
      <c r="L129" s="84">
        <f t="shared" si="89"/>
        <v>0</v>
      </c>
      <c r="M129" s="84">
        <f t="shared" si="89"/>
        <v>0</v>
      </c>
      <c r="N129" s="77"/>
      <c r="O129" s="77"/>
    </row>
    <row r="130" spans="3:15" ht="24" customHeight="1" x14ac:dyDescent="0.2">
      <c r="C130" s="92" t="s">
        <v>268</v>
      </c>
      <c r="D130" s="92" t="s">
        <v>267</v>
      </c>
      <c r="E130" s="76"/>
      <c r="F130" s="81"/>
      <c r="G130" s="78">
        <f>G131</f>
        <v>0</v>
      </c>
      <c r="H130" s="78">
        <f>H131</f>
        <v>-7.95</v>
      </c>
      <c r="I130" s="78">
        <f t="shared" ref="I130:M130" si="90">I131</f>
        <v>0</v>
      </c>
      <c r="J130" s="84">
        <f t="shared" si="90"/>
        <v>0</v>
      </c>
      <c r="K130" s="78">
        <f t="shared" si="90"/>
        <v>0</v>
      </c>
      <c r="L130" s="78">
        <f t="shared" si="90"/>
        <v>0</v>
      </c>
      <c r="M130" s="78">
        <f t="shared" si="90"/>
        <v>0</v>
      </c>
      <c r="N130" s="77"/>
      <c r="O130" s="77"/>
    </row>
    <row r="131" spans="3:15" ht="105" customHeight="1" x14ac:dyDescent="0.2">
      <c r="C131" s="94" t="s">
        <v>514</v>
      </c>
      <c r="D131" s="92" t="s">
        <v>515</v>
      </c>
      <c r="E131" s="73" t="s">
        <v>516</v>
      </c>
      <c r="F131" s="81"/>
      <c r="G131" s="78">
        <v>0</v>
      </c>
      <c r="H131" s="78">
        <v>-7.95</v>
      </c>
      <c r="I131" s="78">
        <v>0</v>
      </c>
      <c r="J131" s="78">
        <f t="shared" ref="J131" si="91">I131-G131</f>
        <v>0</v>
      </c>
      <c r="K131" s="78">
        <v>0</v>
      </c>
      <c r="L131" s="78">
        <v>0</v>
      </c>
      <c r="M131" s="78">
        <v>0</v>
      </c>
      <c r="N131" s="77"/>
      <c r="O131" s="77"/>
    </row>
    <row r="132" spans="3:15" ht="12.75" x14ac:dyDescent="0.2">
      <c r="C132" s="94" t="s">
        <v>226</v>
      </c>
      <c r="D132" s="92" t="s">
        <v>224</v>
      </c>
      <c r="E132" s="76"/>
      <c r="F132" s="81"/>
      <c r="G132" s="78">
        <f>G134</f>
        <v>7000</v>
      </c>
      <c r="H132" s="78">
        <f>H134+H133</f>
        <v>5000</v>
      </c>
      <c r="I132" s="78">
        <f>I134+I133</f>
        <v>5000</v>
      </c>
      <c r="J132" s="84">
        <f>J134+J133</f>
        <v>-2000</v>
      </c>
      <c r="K132" s="78">
        <f t="shared" ref="K132:M132" si="92">K134</f>
        <v>0</v>
      </c>
      <c r="L132" s="78">
        <f t="shared" si="92"/>
        <v>0</v>
      </c>
      <c r="M132" s="78">
        <f t="shared" si="92"/>
        <v>0</v>
      </c>
      <c r="N132" s="77"/>
      <c r="O132" s="77"/>
    </row>
    <row r="133" spans="3:15" ht="102.75" hidden="1" customHeight="1" x14ac:dyDescent="0.2">
      <c r="C133" s="94" t="s">
        <v>511</v>
      </c>
      <c r="D133" s="92" t="s">
        <v>512</v>
      </c>
      <c r="E133" s="73" t="s">
        <v>513</v>
      </c>
      <c r="F133" s="81"/>
      <c r="G133" s="78">
        <v>0</v>
      </c>
      <c r="H133" s="78">
        <v>0</v>
      </c>
      <c r="I133" s="78">
        <v>0</v>
      </c>
      <c r="J133" s="78">
        <f t="shared" ref="J133:J134" si="93">I133-G133</f>
        <v>0</v>
      </c>
      <c r="K133" s="78">
        <v>0</v>
      </c>
      <c r="L133" s="78">
        <v>0</v>
      </c>
      <c r="M133" s="78">
        <v>0</v>
      </c>
      <c r="N133" s="77"/>
      <c r="O133" s="77"/>
    </row>
    <row r="134" spans="3:15" ht="75" customHeight="1" x14ac:dyDescent="0.2">
      <c r="C134" s="94" t="s">
        <v>580</v>
      </c>
      <c r="D134" s="92" t="s">
        <v>510</v>
      </c>
      <c r="E134" s="73" t="s">
        <v>579</v>
      </c>
      <c r="F134" s="81"/>
      <c r="G134" s="78">
        <v>7000</v>
      </c>
      <c r="H134" s="78">
        <v>5000</v>
      </c>
      <c r="I134" s="78">
        <v>5000</v>
      </c>
      <c r="J134" s="84">
        <f t="shared" si="93"/>
        <v>-2000</v>
      </c>
      <c r="K134" s="78">
        <v>0</v>
      </c>
      <c r="L134" s="78">
        <v>0</v>
      </c>
      <c r="M134" s="78">
        <v>0</v>
      </c>
      <c r="N134" s="77"/>
      <c r="O134" s="77"/>
    </row>
    <row r="135" spans="3:15" ht="12.75" x14ac:dyDescent="0.2">
      <c r="C135" s="83" t="s">
        <v>383</v>
      </c>
      <c r="D135" s="79" t="s">
        <v>379</v>
      </c>
      <c r="E135" s="81"/>
      <c r="F135" s="81"/>
      <c r="G135" s="84">
        <f t="shared" ref="G135:M135" si="94">G137+G141+G153+G159+G166+G168+G172+G170+G164</f>
        <v>2748298347.25</v>
      </c>
      <c r="H135" s="84">
        <f t="shared" si="94"/>
        <v>1349521636.7</v>
      </c>
      <c r="I135" s="84">
        <f t="shared" si="94"/>
        <v>1953196764.75</v>
      </c>
      <c r="J135" s="78">
        <f t="shared" si="94"/>
        <v>-795101582.5</v>
      </c>
      <c r="K135" s="84">
        <f t="shared" si="94"/>
        <v>2378124459.02</v>
      </c>
      <c r="L135" s="84">
        <f t="shared" si="94"/>
        <v>1304769561.22</v>
      </c>
      <c r="M135" s="84">
        <f t="shared" si="94"/>
        <v>1391698000.1700001</v>
      </c>
      <c r="N135" s="77"/>
      <c r="O135" s="77"/>
    </row>
    <row r="136" spans="3:15" ht="25.5" x14ac:dyDescent="0.2">
      <c r="C136" s="83" t="s">
        <v>384</v>
      </c>
      <c r="D136" s="79" t="s">
        <v>380</v>
      </c>
      <c r="E136" s="79"/>
      <c r="F136" s="83"/>
      <c r="G136" s="84">
        <f>G137+G141+G153+G159+G168</f>
        <v>2748187217.25</v>
      </c>
      <c r="H136" s="84">
        <f t="shared" ref="H136:M136" si="95">H137+H141+H153+H159</f>
        <v>1350853628.51</v>
      </c>
      <c r="I136" s="84">
        <f t="shared" si="95"/>
        <v>1951520360.1900001</v>
      </c>
      <c r="J136" s="84">
        <f t="shared" si="95"/>
        <v>-796666857.05999994</v>
      </c>
      <c r="K136" s="84">
        <f t="shared" si="95"/>
        <v>2378124459.02</v>
      </c>
      <c r="L136" s="84">
        <f t="shared" si="95"/>
        <v>1304769561.22</v>
      </c>
      <c r="M136" s="84">
        <f t="shared" si="95"/>
        <v>1391698000.1700001</v>
      </c>
      <c r="N136" s="77"/>
      <c r="O136" s="77"/>
    </row>
    <row r="137" spans="3:15" ht="12.75" x14ac:dyDescent="0.2">
      <c r="C137" s="83" t="s">
        <v>430</v>
      </c>
      <c r="D137" s="79" t="s">
        <v>381</v>
      </c>
      <c r="E137" s="73"/>
      <c r="F137" s="83"/>
      <c r="G137" s="84">
        <v>686181543.58000004</v>
      </c>
      <c r="H137" s="84">
        <f t="shared" ref="H137:M137" si="96">H138+H139+H140</f>
        <v>458097743.57999998</v>
      </c>
      <c r="I137" s="84">
        <f t="shared" si="96"/>
        <v>685895937.58000004</v>
      </c>
      <c r="J137" s="78">
        <f t="shared" ref="J137" si="97">J138+J139+J140</f>
        <v>-285606</v>
      </c>
      <c r="K137" s="84">
        <f t="shared" si="96"/>
        <v>666375100</v>
      </c>
      <c r="L137" s="84">
        <f t="shared" si="96"/>
        <v>394280500</v>
      </c>
      <c r="M137" s="84">
        <f t="shared" si="96"/>
        <v>480403600</v>
      </c>
      <c r="N137" s="77"/>
      <c r="O137" s="77"/>
    </row>
    <row r="138" spans="3:15" ht="39.6" customHeight="1" x14ac:dyDescent="0.2">
      <c r="C138" s="81" t="s">
        <v>509</v>
      </c>
      <c r="D138" s="82" t="s">
        <v>575</v>
      </c>
      <c r="E138" s="73" t="s">
        <v>508</v>
      </c>
      <c r="F138" s="81"/>
      <c r="G138" s="78">
        <v>456969600</v>
      </c>
      <c r="H138" s="78">
        <v>304646400</v>
      </c>
      <c r="I138" s="78">
        <v>456683994</v>
      </c>
      <c r="J138" s="84">
        <f t="shared" ref="J138:J140" si="98">I138-G138</f>
        <v>-285606</v>
      </c>
      <c r="K138" s="78">
        <v>519649600</v>
      </c>
      <c r="L138" s="78">
        <v>394280500</v>
      </c>
      <c r="M138" s="78">
        <v>480403600</v>
      </c>
      <c r="N138" s="77"/>
      <c r="O138" s="77"/>
    </row>
    <row r="139" spans="3:15" ht="43.15" customHeight="1" x14ac:dyDescent="0.2">
      <c r="C139" s="81" t="s">
        <v>507</v>
      </c>
      <c r="D139" s="82" t="s">
        <v>574</v>
      </c>
      <c r="E139" s="73" t="s">
        <v>508</v>
      </c>
      <c r="F139" s="81"/>
      <c r="G139" s="78">
        <v>227281800</v>
      </c>
      <c r="H139" s="78">
        <v>151521200</v>
      </c>
      <c r="I139" s="78">
        <v>227281800</v>
      </c>
      <c r="J139" s="78">
        <f t="shared" si="98"/>
        <v>0</v>
      </c>
      <c r="K139" s="78">
        <v>146725500</v>
      </c>
      <c r="L139" s="78">
        <v>0</v>
      </c>
      <c r="M139" s="78">
        <v>0</v>
      </c>
      <c r="N139" s="77"/>
      <c r="O139" s="77"/>
    </row>
    <row r="140" spans="3:15" ht="30.6" customHeight="1" x14ac:dyDescent="0.2">
      <c r="C140" s="81" t="s">
        <v>630</v>
      </c>
      <c r="D140" s="82" t="s">
        <v>505</v>
      </c>
      <c r="E140" s="73" t="s">
        <v>506</v>
      </c>
      <c r="F140" s="81"/>
      <c r="G140" s="78">
        <v>1930143.58</v>
      </c>
      <c r="H140" s="78">
        <v>1930143.58</v>
      </c>
      <c r="I140" s="78">
        <v>1930143.58</v>
      </c>
      <c r="J140" s="84">
        <f t="shared" si="98"/>
        <v>0</v>
      </c>
      <c r="K140" s="78">
        <v>0</v>
      </c>
      <c r="L140" s="78">
        <v>0</v>
      </c>
      <c r="M140" s="78">
        <v>0</v>
      </c>
      <c r="N140" s="77"/>
      <c r="O140" s="77"/>
    </row>
    <row r="141" spans="3:15" ht="25.5" x14ac:dyDescent="0.2">
      <c r="C141" s="83" t="s">
        <v>418</v>
      </c>
      <c r="D141" s="79" t="s">
        <v>382</v>
      </c>
      <c r="E141" s="79"/>
      <c r="F141" s="83"/>
      <c r="G141" s="84">
        <f t="shared" ref="G141:M141" si="99">SUM(G142:G152)</f>
        <v>1390219093.8399999</v>
      </c>
      <c r="H141" s="84">
        <f t="shared" si="99"/>
        <v>383388677.88</v>
      </c>
      <c r="I141" s="84">
        <f t="shared" si="99"/>
        <v>576789849.77999997</v>
      </c>
      <c r="J141" s="78">
        <f t="shared" si="99"/>
        <v>-813429244.05999994</v>
      </c>
      <c r="K141" s="84">
        <f t="shared" si="99"/>
        <v>1108250714.8199999</v>
      </c>
      <c r="L141" s="84">
        <f t="shared" si="99"/>
        <v>307396507.01999998</v>
      </c>
      <c r="M141" s="84">
        <f t="shared" si="99"/>
        <v>307950860.97000003</v>
      </c>
      <c r="N141" s="77"/>
      <c r="O141" s="77"/>
    </row>
    <row r="142" spans="3:15" ht="73.5" customHeight="1" x14ac:dyDescent="0.2">
      <c r="C142" s="146" t="s">
        <v>687</v>
      </c>
      <c r="D142" s="82" t="s">
        <v>688</v>
      </c>
      <c r="E142" s="73" t="s">
        <v>497</v>
      </c>
      <c r="F142" s="81"/>
      <c r="G142" s="78">
        <v>0</v>
      </c>
      <c r="H142" s="78">
        <v>0</v>
      </c>
      <c r="I142" s="78">
        <v>0</v>
      </c>
      <c r="J142" s="84">
        <f t="shared" ref="J142:J152" si="100">I142-G142</f>
        <v>0</v>
      </c>
      <c r="K142" s="78">
        <v>0</v>
      </c>
      <c r="L142" s="78">
        <v>294300</v>
      </c>
      <c r="M142" s="78">
        <v>294300</v>
      </c>
      <c r="N142" s="77"/>
      <c r="O142" s="77"/>
    </row>
    <row r="143" spans="3:15" ht="59.45" customHeight="1" x14ac:dyDescent="0.2">
      <c r="C143" s="81" t="s">
        <v>504</v>
      </c>
      <c r="D143" s="82" t="s">
        <v>631</v>
      </c>
      <c r="E143" s="73" t="s">
        <v>497</v>
      </c>
      <c r="F143" s="81"/>
      <c r="G143" s="78">
        <v>40350340</v>
      </c>
      <c r="H143" s="78">
        <v>0</v>
      </c>
      <c r="I143" s="78">
        <v>40350340</v>
      </c>
      <c r="J143" s="78">
        <f t="shared" si="100"/>
        <v>0</v>
      </c>
      <c r="K143" s="78">
        <v>0</v>
      </c>
      <c r="L143" s="78">
        <v>0</v>
      </c>
      <c r="M143" s="78">
        <v>0</v>
      </c>
      <c r="N143" s="77"/>
      <c r="O143" s="77"/>
    </row>
    <row r="144" spans="3:15" ht="60.75" customHeight="1" x14ac:dyDescent="0.2">
      <c r="C144" s="81" t="s">
        <v>502</v>
      </c>
      <c r="D144" s="123" t="s">
        <v>503</v>
      </c>
      <c r="E144" s="73" t="s">
        <v>497</v>
      </c>
      <c r="F144" s="81"/>
      <c r="G144" s="78">
        <v>383500000</v>
      </c>
      <c r="H144" s="78">
        <v>0</v>
      </c>
      <c r="I144" s="78">
        <v>0</v>
      </c>
      <c r="J144" s="78">
        <f t="shared" si="100"/>
        <v>-383500000</v>
      </c>
      <c r="K144" s="78"/>
      <c r="L144" s="78"/>
      <c r="M144" s="78"/>
      <c r="N144" s="77"/>
      <c r="O144" s="77"/>
    </row>
    <row r="145" spans="3:15" ht="53.25" customHeight="1" x14ac:dyDescent="0.2">
      <c r="C145" s="81" t="s">
        <v>501</v>
      </c>
      <c r="D145" s="124" t="s">
        <v>632</v>
      </c>
      <c r="E145" s="73" t="s">
        <v>497</v>
      </c>
      <c r="F145" s="81"/>
      <c r="G145" s="78">
        <v>210855000</v>
      </c>
      <c r="H145" s="78">
        <v>0</v>
      </c>
      <c r="I145" s="78">
        <v>0</v>
      </c>
      <c r="J145" s="84">
        <f t="shared" si="100"/>
        <v>-210855000</v>
      </c>
      <c r="K145" s="78">
        <v>781987490</v>
      </c>
      <c r="L145" s="78">
        <v>0</v>
      </c>
      <c r="M145" s="78">
        <v>0</v>
      </c>
      <c r="N145" s="77"/>
      <c r="O145" s="77"/>
    </row>
    <row r="146" spans="3:15" ht="68.25" customHeight="1" x14ac:dyDescent="0.2">
      <c r="C146" s="81" t="s">
        <v>633</v>
      </c>
      <c r="D146" s="82" t="s">
        <v>634</v>
      </c>
      <c r="E146" s="73" t="s">
        <v>497</v>
      </c>
      <c r="F146" s="81"/>
      <c r="G146" s="78">
        <v>195067015</v>
      </c>
      <c r="H146" s="78">
        <v>0</v>
      </c>
      <c r="I146" s="78">
        <v>0</v>
      </c>
      <c r="J146" s="78">
        <f t="shared" si="100"/>
        <v>-195067015</v>
      </c>
      <c r="K146" s="78">
        <v>0</v>
      </c>
      <c r="L146" s="78">
        <v>0</v>
      </c>
      <c r="M146" s="78">
        <v>0</v>
      </c>
      <c r="N146" s="77"/>
      <c r="O146" s="77"/>
    </row>
    <row r="147" spans="3:15" ht="53.25" customHeight="1" x14ac:dyDescent="0.2">
      <c r="C147" s="81" t="s">
        <v>500</v>
      </c>
      <c r="D147" s="82" t="s">
        <v>581</v>
      </c>
      <c r="E147" s="73" t="s">
        <v>483</v>
      </c>
      <c r="F147" s="81"/>
      <c r="G147" s="78">
        <v>14573000</v>
      </c>
      <c r="H147" s="78">
        <v>8100000</v>
      </c>
      <c r="I147" s="78">
        <v>12004281</v>
      </c>
      <c r="J147" s="84">
        <f t="shared" si="100"/>
        <v>-2568719</v>
      </c>
      <c r="K147" s="78">
        <v>0</v>
      </c>
      <c r="L147" s="78">
        <v>0</v>
      </c>
      <c r="M147" s="78">
        <v>0</v>
      </c>
      <c r="N147" s="77"/>
      <c r="O147" s="77"/>
    </row>
    <row r="148" spans="3:15" ht="53.25" customHeight="1" x14ac:dyDescent="0.2">
      <c r="C148" s="81" t="s">
        <v>637</v>
      </c>
      <c r="D148" s="82" t="s">
        <v>635</v>
      </c>
      <c r="E148" s="73" t="s">
        <v>636</v>
      </c>
      <c r="F148" s="81"/>
      <c r="G148" s="78">
        <v>164354</v>
      </c>
      <c r="H148" s="78">
        <v>164354</v>
      </c>
      <c r="I148" s="78">
        <v>164354</v>
      </c>
      <c r="J148" s="78">
        <f t="shared" si="100"/>
        <v>0</v>
      </c>
      <c r="K148" s="78">
        <v>0</v>
      </c>
      <c r="L148" s="78">
        <v>0</v>
      </c>
      <c r="M148" s="78">
        <v>0</v>
      </c>
      <c r="N148" s="77"/>
      <c r="O148" s="77"/>
    </row>
    <row r="149" spans="3:15" ht="39.75" customHeight="1" x14ac:dyDescent="0.2">
      <c r="C149" s="81" t="s">
        <v>498</v>
      </c>
      <c r="D149" s="82" t="s">
        <v>499</v>
      </c>
      <c r="E149" s="73" t="s">
        <v>490</v>
      </c>
      <c r="F149" s="81"/>
      <c r="G149" s="78">
        <v>24326054</v>
      </c>
      <c r="H149" s="78">
        <v>17345359.32</v>
      </c>
      <c r="I149" s="78">
        <v>24326054</v>
      </c>
      <c r="J149" s="78">
        <f t="shared" si="100"/>
        <v>0</v>
      </c>
      <c r="K149" s="78">
        <v>24238600</v>
      </c>
      <c r="L149" s="78">
        <v>23634115</v>
      </c>
      <c r="M149" s="78">
        <v>23761100</v>
      </c>
      <c r="N149" s="77"/>
      <c r="O149" s="77"/>
    </row>
    <row r="150" spans="3:15" ht="39.75" customHeight="1" x14ac:dyDescent="0.2">
      <c r="C150" s="125" t="s">
        <v>638</v>
      </c>
      <c r="D150" s="126" t="s">
        <v>639</v>
      </c>
      <c r="E150" s="73" t="s">
        <v>636</v>
      </c>
      <c r="F150" s="81"/>
      <c r="G150" s="78">
        <v>6437578.9500000002</v>
      </c>
      <c r="H150" s="78">
        <v>6437578.9500000002</v>
      </c>
      <c r="I150" s="78">
        <v>6437578.9500000002</v>
      </c>
      <c r="J150" s="84">
        <f t="shared" ref="J150" si="101">I150-G150</f>
        <v>0</v>
      </c>
      <c r="K150" s="78"/>
      <c r="L150" s="78"/>
      <c r="M150" s="78"/>
      <c r="N150" s="77"/>
      <c r="O150" s="77"/>
    </row>
    <row r="151" spans="3:15" ht="39.75" customHeight="1" x14ac:dyDescent="0.2">
      <c r="C151" s="127" t="s">
        <v>640</v>
      </c>
      <c r="D151" s="126" t="s">
        <v>641</v>
      </c>
      <c r="E151" s="73" t="s">
        <v>642</v>
      </c>
      <c r="F151" s="81"/>
      <c r="G151" s="78">
        <v>128546805.56</v>
      </c>
      <c r="H151" s="78">
        <v>128546805.56</v>
      </c>
      <c r="I151" s="78">
        <v>128546805.56</v>
      </c>
      <c r="J151" s="84">
        <f t="shared" si="100"/>
        <v>0</v>
      </c>
      <c r="K151" s="78"/>
      <c r="L151" s="78"/>
      <c r="M151" s="78"/>
      <c r="N151" s="77"/>
      <c r="O151" s="77"/>
    </row>
    <row r="152" spans="3:15" ht="177.75" customHeight="1" x14ac:dyDescent="0.2">
      <c r="C152" s="81" t="s">
        <v>495</v>
      </c>
      <c r="D152" s="82" t="s">
        <v>496</v>
      </c>
      <c r="E152" s="73" t="s">
        <v>576</v>
      </c>
      <c r="F152" s="81"/>
      <c r="G152" s="78">
        <v>386398946.32999998</v>
      </c>
      <c r="H152" s="78">
        <v>222794580.05000001</v>
      </c>
      <c r="I152" s="78">
        <v>364960436.26999998</v>
      </c>
      <c r="J152" s="78">
        <f t="shared" si="100"/>
        <v>-21438510.060000002</v>
      </c>
      <c r="K152" s="78">
        <f>18963450+10241272.82+2345301.06+121208105+6829891.94+84203700+58033600+199304</f>
        <v>302024624.81999999</v>
      </c>
      <c r="L152" s="78">
        <f>10650709.18+2345301.06+121208105+6827372.78+84203700+58033600+199304</f>
        <v>283468092.01999998</v>
      </c>
      <c r="M152" s="78">
        <f>11076236.93+2345301.06+121208105+6829213.98+84203700+58033600+199304</f>
        <v>283895460.97000003</v>
      </c>
      <c r="N152" s="77"/>
      <c r="O152" s="77"/>
    </row>
    <row r="153" spans="3:15" ht="12.75" x14ac:dyDescent="0.2">
      <c r="C153" s="83" t="s">
        <v>419</v>
      </c>
      <c r="D153" s="79" t="s">
        <v>385</v>
      </c>
      <c r="E153" s="79"/>
      <c r="F153" s="128"/>
      <c r="G153" s="84">
        <f t="shared" ref="G153:M153" si="102">SUM(G154:G158)</f>
        <v>616025072.83000004</v>
      </c>
      <c r="H153" s="84">
        <f t="shared" si="102"/>
        <v>471285393.35000002</v>
      </c>
      <c r="I153" s="84">
        <f t="shared" si="102"/>
        <v>632073065.83000004</v>
      </c>
      <c r="J153" s="84">
        <f t="shared" si="102"/>
        <v>16047993</v>
      </c>
      <c r="K153" s="84">
        <f t="shared" si="102"/>
        <v>603498644.20000005</v>
      </c>
      <c r="L153" s="84">
        <f t="shared" si="102"/>
        <v>603092554.20000005</v>
      </c>
      <c r="M153" s="84">
        <f t="shared" si="102"/>
        <v>603343539.20000005</v>
      </c>
    </row>
    <row r="154" spans="3:15" ht="67.900000000000006" customHeight="1" x14ac:dyDescent="0.2">
      <c r="C154" s="81" t="s">
        <v>493</v>
      </c>
      <c r="D154" s="82" t="s">
        <v>494</v>
      </c>
      <c r="E154" s="73" t="s">
        <v>582</v>
      </c>
      <c r="F154" s="80"/>
      <c r="G154" s="78">
        <v>9818450.8300000001</v>
      </c>
      <c r="H154" s="78">
        <v>4742650.87</v>
      </c>
      <c r="I154" s="78">
        <v>10536778.83</v>
      </c>
      <c r="J154" s="78">
        <f t="shared" ref="J154:J158" si="103">I154-G154</f>
        <v>718328</v>
      </c>
      <c r="K154" s="78">
        <f>237562.2+166612+1835000+97400+37300+6200+1000000+3811400+16200+69300+2634441</f>
        <v>9911415.1999999993</v>
      </c>
      <c r="L154" s="78">
        <f>237562.2+166612+1835000+97400+6200+37300+1000000+3811400+16200+69300+2423827</f>
        <v>9700801.1999999993</v>
      </c>
      <c r="M154" s="78">
        <f>237562.2+166612+1835000+97400+6200+37300+1000000+3811400+16200+69300+2490544</f>
        <v>9767518.1999999993</v>
      </c>
    </row>
    <row r="155" spans="3:15" ht="69.75" customHeight="1" x14ac:dyDescent="0.2">
      <c r="C155" s="81" t="s">
        <v>491</v>
      </c>
      <c r="D155" s="82" t="s">
        <v>492</v>
      </c>
      <c r="E155" s="73" t="s">
        <v>570</v>
      </c>
      <c r="F155" s="80"/>
      <c r="G155" s="78">
        <v>8667400</v>
      </c>
      <c r="H155" s="78">
        <v>2622720.48</v>
      </c>
      <c r="I155" s="78">
        <v>4300000</v>
      </c>
      <c r="J155" s="84">
        <f t="shared" si="103"/>
        <v>-4367400</v>
      </c>
      <c r="K155" s="78">
        <v>4060000</v>
      </c>
      <c r="L155" s="78">
        <v>4060000</v>
      </c>
      <c r="M155" s="78">
        <v>4060000</v>
      </c>
    </row>
    <row r="156" spans="3:15" ht="38.25" x14ac:dyDescent="0.2">
      <c r="C156" s="81" t="s">
        <v>488</v>
      </c>
      <c r="D156" s="82" t="s">
        <v>489</v>
      </c>
      <c r="E156" s="73" t="s">
        <v>490</v>
      </c>
      <c r="F156" s="80"/>
      <c r="G156" s="78">
        <v>17222</v>
      </c>
      <c r="H156" s="78">
        <v>17222</v>
      </c>
      <c r="I156" s="78">
        <v>27087</v>
      </c>
      <c r="J156" s="84">
        <f t="shared" si="103"/>
        <v>9865</v>
      </c>
      <c r="K156" s="78">
        <v>275468</v>
      </c>
      <c r="L156" s="78">
        <v>10519</v>
      </c>
      <c r="M156" s="78">
        <v>11408</v>
      </c>
    </row>
    <row r="157" spans="3:15" ht="44.45" customHeight="1" x14ac:dyDescent="0.2">
      <c r="C157" s="81" t="s">
        <v>486</v>
      </c>
      <c r="D157" s="82" t="s">
        <v>487</v>
      </c>
      <c r="E157" s="73" t="s">
        <v>570</v>
      </c>
      <c r="F157" s="80"/>
      <c r="G157" s="78">
        <v>597522000</v>
      </c>
      <c r="H157" s="78">
        <v>463902800</v>
      </c>
      <c r="I157" s="78">
        <v>617209200</v>
      </c>
      <c r="J157" s="78">
        <f t="shared" ref="J157" si="104">I157-G157</f>
        <v>19687200</v>
      </c>
      <c r="K157" s="78">
        <v>588639800</v>
      </c>
      <c r="L157" s="78">
        <v>588639800</v>
      </c>
      <c r="M157" s="78">
        <v>588639800</v>
      </c>
    </row>
    <row r="158" spans="3:15" ht="44.45" customHeight="1" x14ac:dyDescent="0.2">
      <c r="C158" s="132" t="s">
        <v>689</v>
      </c>
      <c r="D158" s="82" t="s">
        <v>686</v>
      </c>
      <c r="E158" s="73" t="s">
        <v>490</v>
      </c>
      <c r="F158" s="80"/>
      <c r="G158" s="78">
        <v>0</v>
      </c>
      <c r="H158" s="78">
        <v>0</v>
      </c>
      <c r="I158" s="78">
        <v>0</v>
      </c>
      <c r="J158" s="78">
        <f t="shared" si="103"/>
        <v>0</v>
      </c>
      <c r="K158" s="78">
        <v>611961</v>
      </c>
      <c r="L158" s="78">
        <v>681434</v>
      </c>
      <c r="M158" s="78">
        <v>864813</v>
      </c>
    </row>
    <row r="159" spans="3:15" ht="25.15" customHeight="1" x14ac:dyDescent="0.2">
      <c r="C159" s="83" t="s">
        <v>420</v>
      </c>
      <c r="D159" s="79" t="s">
        <v>409</v>
      </c>
      <c r="E159" s="79"/>
      <c r="F159" s="128"/>
      <c r="G159" s="84">
        <f>G160+G161+G162+G163</f>
        <v>55761507</v>
      </c>
      <c r="H159" s="84">
        <f>H160+H161+H162+H163</f>
        <v>38081813.700000003</v>
      </c>
      <c r="I159" s="84">
        <f>I161+I162+I163+I164+I160</f>
        <v>56761507</v>
      </c>
      <c r="J159" s="84">
        <f>J161+J162+J163+J164+J160</f>
        <v>1000000</v>
      </c>
      <c r="K159" s="84">
        <f t="shared" ref="K159:M159" si="105">K161+K162+K163+K164</f>
        <v>0</v>
      </c>
      <c r="L159" s="84">
        <f t="shared" si="105"/>
        <v>0</v>
      </c>
      <c r="M159" s="84">
        <f t="shared" si="105"/>
        <v>0</v>
      </c>
    </row>
    <row r="160" spans="3:15" ht="78" customHeight="1" x14ac:dyDescent="0.2">
      <c r="C160" s="81" t="s">
        <v>643</v>
      </c>
      <c r="D160" s="82" t="s">
        <v>644</v>
      </c>
      <c r="E160" s="73" t="s">
        <v>483</v>
      </c>
      <c r="F160" s="128"/>
      <c r="G160" s="78">
        <v>1078500</v>
      </c>
      <c r="H160" s="78">
        <v>719400</v>
      </c>
      <c r="I160" s="78">
        <v>1078500</v>
      </c>
      <c r="J160" s="78">
        <f t="shared" ref="J160:J163" si="106">I160-G160</f>
        <v>0</v>
      </c>
      <c r="K160" s="78">
        <v>0</v>
      </c>
      <c r="L160" s="78">
        <v>0</v>
      </c>
      <c r="M160" s="78">
        <v>0</v>
      </c>
    </row>
    <row r="161" spans="3:13" ht="75" customHeight="1" x14ac:dyDescent="0.2">
      <c r="C161" s="81" t="s">
        <v>484</v>
      </c>
      <c r="D161" s="82" t="s">
        <v>485</v>
      </c>
      <c r="E161" s="73" t="s">
        <v>483</v>
      </c>
      <c r="F161" s="128"/>
      <c r="G161" s="78">
        <v>3169207</v>
      </c>
      <c r="H161" s="78">
        <v>2112000</v>
      </c>
      <c r="I161" s="78">
        <v>3169207</v>
      </c>
      <c r="J161" s="84">
        <f t="shared" si="106"/>
        <v>0</v>
      </c>
      <c r="K161" s="78">
        <v>0</v>
      </c>
      <c r="L161" s="78">
        <v>0</v>
      </c>
      <c r="M161" s="78">
        <v>0</v>
      </c>
    </row>
    <row r="162" spans="3:13" ht="87.75" customHeight="1" x14ac:dyDescent="0.2">
      <c r="C162" s="81" t="s">
        <v>482</v>
      </c>
      <c r="D162" s="82" t="s">
        <v>583</v>
      </c>
      <c r="E162" s="73" t="s">
        <v>483</v>
      </c>
      <c r="F162" s="80"/>
      <c r="G162" s="78">
        <v>47183800</v>
      </c>
      <c r="H162" s="78">
        <v>31455900</v>
      </c>
      <c r="I162" s="78">
        <v>47183800</v>
      </c>
      <c r="J162" s="78">
        <f t="shared" si="106"/>
        <v>0</v>
      </c>
      <c r="K162" s="78">
        <v>0</v>
      </c>
      <c r="L162" s="78">
        <v>0</v>
      </c>
      <c r="M162" s="78">
        <v>0</v>
      </c>
    </row>
    <row r="163" spans="3:13" ht="105" customHeight="1" x14ac:dyDescent="0.2">
      <c r="C163" s="81" t="s">
        <v>645</v>
      </c>
      <c r="D163" s="82" t="s">
        <v>646</v>
      </c>
      <c r="E163" s="73" t="s">
        <v>647</v>
      </c>
      <c r="F163" s="80"/>
      <c r="G163" s="78">
        <v>4330000</v>
      </c>
      <c r="H163" s="78">
        <v>3794513.7</v>
      </c>
      <c r="I163" s="78">
        <v>5330000</v>
      </c>
      <c r="J163" s="84">
        <f t="shared" si="106"/>
        <v>1000000</v>
      </c>
      <c r="K163" s="78">
        <v>0</v>
      </c>
      <c r="L163" s="78">
        <v>0</v>
      </c>
      <c r="M163" s="78">
        <v>0</v>
      </c>
    </row>
    <row r="164" spans="3:13" ht="51" customHeight="1" x14ac:dyDescent="0.2">
      <c r="C164" s="83" t="s">
        <v>469</v>
      </c>
      <c r="D164" s="79" t="s">
        <v>470</v>
      </c>
      <c r="E164" s="74"/>
      <c r="F164" s="128"/>
      <c r="G164" s="84">
        <f>G165</f>
        <v>0</v>
      </c>
      <c r="H164" s="84">
        <f t="shared" ref="H164:M164" si="107">H165</f>
        <v>0</v>
      </c>
      <c r="I164" s="84">
        <f t="shared" si="107"/>
        <v>0</v>
      </c>
      <c r="J164" s="78">
        <f t="shared" si="107"/>
        <v>0</v>
      </c>
      <c r="K164" s="84">
        <f t="shared" si="107"/>
        <v>0</v>
      </c>
      <c r="L164" s="84">
        <f t="shared" si="107"/>
        <v>0</v>
      </c>
      <c r="M164" s="84">
        <f t="shared" si="107"/>
        <v>0</v>
      </c>
    </row>
    <row r="165" spans="3:13" ht="79.5" customHeight="1" x14ac:dyDescent="0.2">
      <c r="C165" s="129" t="s">
        <v>479</v>
      </c>
      <c r="D165" s="130" t="s">
        <v>480</v>
      </c>
      <c r="E165" s="73" t="s">
        <v>481</v>
      </c>
      <c r="F165" s="80"/>
      <c r="G165" s="78">
        <v>0</v>
      </c>
      <c r="H165" s="78">
        <v>0</v>
      </c>
      <c r="I165" s="78">
        <v>0</v>
      </c>
      <c r="J165" s="84">
        <f t="shared" ref="J165" si="108">I165-G165</f>
        <v>0</v>
      </c>
      <c r="K165" s="78">
        <v>0</v>
      </c>
      <c r="L165" s="78">
        <v>0</v>
      </c>
      <c r="M165" s="78">
        <v>0</v>
      </c>
    </row>
    <row r="166" spans="3:13" ht="31.9" customHeight="1" x14ac:dyDescent="0.2">
      <c r="C166" s="83" t="s">
        <v>421</v>
      </c>
      <c r="D166" s="79" t="s">
        <v>410</v>
      </c>
      <c r="E166" s="131"/>
      <c r="F166" s="131"/>
      <c r="G166" s="84">
        <f>G167</f>
        <v>111130</v>
      </c>
      <c r="H166" s="84">
        <f>H167</f>
        <v>111130</v>
      </c>
      <c r="I166" s="84">
        <f t="shared" ref="I166:M166" si="109">I167</f>
        <v>111130</v>
      </c>
      <c r="J166" s="78">
        <f t="shared" si="109"/>
        <v>0</v>
      </c>
      <c r="K166" s="84">
        <f t="shared" si="109"/>
        <v>0</v>
      </c>
      <c r="L166" s="84">
        <f t="shared" si="109"/>
        <v>0</v>
      </c>
      <c r="M166" s="84">
        <f t="shared" si="109"/>
        <v>0</v>
      </c>
    </row>
    <row r="167" spans="3:13" ht="115.5" customHeight="1" x14ac:dyDescent="0.2">
      <c r="C167" s="81" t="s">
        <v>476</v>
      </c>
      <c r="D167" s="82" t="s">
        <v>477</v>
      </c>
      <c r="E167" s="73" t="s">
        <v>584</v>
      </c>
      <c r="F167" s="80"/>
      <c r="G167" s="78">
        <v>111130</v>
      </c>
      <c r="H167" s="78">
        <v>111130</v>
      </c>
      <c r="I167" s="78">
        <v>111130</v>
      </c>
      <c r="J167" s="84">
        <f t="shared" ref="J167:J169" si="110">I167-G167</f>
        <v>0</v>
      </c>
      <c r="K167" s="78">
        <v>0</v>
      </c>
      <c r="L167" s="78">
        <v>0</v>
      </c>
      <c r="M167" s="78">
        <v>0</v>
      </c>
    </row>
    <row r="168" spans="3:13" ht="75" customHeight="1" x14ac:dyDescent="0.2">
      <c r="C168" s="79" t="s">
        <v>450</v>
      </c>
      <c r="D168" s="79" t="s">
        <v>451</v>
      </c>
      <c r="E168" s="73"/>
      <c r="F168" s="80"/>
      <c r="G168" s="78">
        <f>G169</f>
        <v>0</v>
      </c>
      <c r="H168" s="78">
        <f>H169</f>
        <v>0</v>
      </c>
      <c r="I168" s="78">
        <v>0</v>
      </c>
      <c r="J168" s="78">
        <f t="shared" si="110"/>
        <v>0</v>
      </c>
      <c r="K168" s="78">
        <v>0</v>
      </c>
      <c r="L168" s="78">
        <v>0</v>
      </c>
      <c r="M168" s="78">
        <v>0</v>
      </c>
    </row>
    <row r="169" spans="3:13" ht="69.75" customHeight="1" x14ac:dyDescent="0.2">
      <c r="C169" s="81" t="s">
        <v>478</v>
      </c>
      <c r="D169" s="82" t="s">
        <v>577</v>
      </c>
      <c r="E169" s="73" t="s">
        <v>578</v>
      </c>
      <c r="F169" s="80"/>
      <c r="G169" s="78">
        <v>0</v>
      </c>
      <c r="H169" s="78">
        <v>0</v>
      </c>
      <c r="I169" s="78">
        <v>0</v>
      </c>
      <c r="J169" s="84">
        <f t="shared" si="110"/>
        <v>0</v>
      </c>
      <c r="K169" s="78">
        <v>0</v>
      </c>
      <c r="L169" s="78">
        <v>0</v>
      </c>
      <c r="M169" s="78">
        <v>0</v>
      </c>
    </row>
    <row r="170" spans="3:13" ht="48.75" customHeight="1" x14ac:dyDescent="0.2">
      <c r="C170" s="79" t="s">
        <v>452</v>
      </c>
      <c r="D170" s="79" t="s">
        <v>453</v>
      </c>
      <c r="E170" s="73"/>
      <c r="F170" s="80"/>
      <c r="G170" s="84">
        <f>G171</f>
        <v>0</v>
      </c>
      <c r="H170" s="84">
        <f t="shared" ref="H170:M170" si="111">H171</f>
        <v>1565274.56</v>
      </c>
      <c r="I170" s="84">
        <f t="shared" si="111"/>
        <v>1565274.56</v>
      </c>
      <c r="J170" s="78">
        <f t="shared" si="111"/>
        <v>1565274.56</v>
      </c>
      <c r="K170" s="84">
        <f t="shared" si="111"/>
        <v>0</v>
      </c>
      <c r="L170" s="84">
        <f t="shared" si="111"/>
        <v>0</v>
      </c>
      <c r="M170" s="84">
        <f t="shared" si="111"/>
        <v>0</v>
      </c>
    </row>
    <row r="171" spans="3:13" ht="53.25" customHeight="1" x14ac:dyDescent="0.2">
      <c r="C171" s="81" t="s">
        <v>661</v>
      </c>
      <c r="D171" s="82" t="s">
        <v>660</v>
      </c>
      <c r="E171" s="73"/>
      <c r="F171" s="80"/>
      <c r="G171" s="78">
        <v>0</v>
      </c>
      <c r="H171" s="78">
        <v>1565274.56</v>
      </c>
      <c r="I171" s="78">
        <v>1565274.56</v>
      </c>
      <c r="J171" s="84">
        <f t="shared" ref="J171" si="112">I171-G171</f>
        <v>1565274.56</v>
      </c>
      <c r="K171" s="78">
        <v>0</v>
      </c>
      <c r="L171" s="78">
        <v>0</v>
      </c>
      <c r="M171" s="78">
        <v>0</v>
      </c>
    </row>
    <row r="172" spans="3:13" ht="25.5" x14ac:dyDescent="0.2">
      <c r="C172" s="83" t="s">
        <v>422</v>
      </c>
      <c r="D172" s="79" t="s">
        <v>406</v>
      </c>
      <c r="E172" s="82"/>
      <c r="F172" s="80"/>
      <c r="G172" s="84">
        <f>G175</f>
        <v>0</v>
      </c>
      <c r="H172" s="84">
        <f>H173+H174+H175</f>
        <v>-3008396.3699999996</v>
      </c>
      <c r="I172" s="84">
        <f t="shared" ref="I172:M172" si="113">I175</f>
        <v>0</v>
      </c>
      <c r="J172" s="78">
        <f t="shared" si="113"/>
        <v>0</v>
      </c>
      <c r="K172" s="84">
        <f t="shared" si="113"/>
        <v>0</v>
      </c>
      <c r="L172" s="84">
        <f t="shared" si="113"/>
        <v>0</v>
      </c>
      <c r="M172" s="84">
        <f t="shared" si="113"/>
        <v>0</v>
      </c>
    </row>
    <row r="173" spans="3:13" ht="57.75" customHeight="1" x14ac:dyDescent="0.2">
      <c r="C173" s="81" t="s">
        <v>663</v>
      </c>
      <c r="D173" s="82" t="s">
        <v>662</v>
      </c>
      <c r="E173" s="85"/>
      <c r="F173" s="80"/>
      <c r="G173" s="78">
        <v>0</v>
      </c>
      <c r="H173" s="78">
        <v>-30774</v>
      </c>
      <c r="I173" s="78">
        <v>0</v>
      </c>
      <c r="J173" s="84">
        <f t="shared" ref="J173:J174" si="114">I173-G173</f>
        <v>0</v>
      </c>
      <c r="K173" s="78">
        <v>0</v>
      </c>
      <c r="L173" s="78">
        <v>0</v>
      </c>
      <c r="M173" s="78">
        <v>0</v>
      </c>
    </row>
    <row r="174" spans="3:13" ht="57.75" customHeight="1" x14ac:dyDescent="0.2">
      <c r="C174" s="81" t="s">
        <v>472</v>
      </c>
      <c r="D174" s="82" t="s">
        <v>473</v>
      </c>
      <c r="E174" s="85"/>
      <c r="F174" s="80"/>
      <c r="G174" s="78">
        <v>0</v>
      </c>
      <c r="H174" s="78">
        <v>-19978.259999999998</v>
      </c>
      <c r="I174" s="78">
        <v>0</v>
      </c>
      <c r="J174" s="84">
        <f t="shared" si="114"/>
        <v>0</v>
      </c>
      <c r="K174" s="78">
        <v>0</v>
      </c>
      <c r="L174" s="78">
        <v>0</v>
      </c>
      <c r="M174" s="78">
        <v>0</v>
      </c>
    </row>
    <row r="175" spans="3:13" ht="48.75" customHeight="1" x14ac:dyDescent="0.2">
      <c r="C175" s="81" t="s">
        <v>665</v>
      </c>
      <c r="D175" s="82" t="s">
        <v>664</v>
      </c>
      <c r="E175" s="85"/>
      <c r="F175" s="80"/>
      <c r="G175" s="78">
        <v>0</v>
      </c>
      <c r="H175" s="78">
        <v>-2957644.11</v>
      </c>
      <c r="I175" s="78">
        <v>0</v>
      </c>
      <c r="J175" s="84">
        <f t="shared" ref="J175" si="115">I175-G175</f>
        <v>0</v>
      </c>
      <c r="K175" s="78">
        <v>0</v>
      </c>
      <c r="L175" s="78">
        <v>0</v>
      </c>
      <c r="M175" s="78">
        <v>0</v>
      </c>
    </row>
    <row r="176" spans="3:13" ht="75" customHeight="1" x14ac:dyDescent="0.25"/>
  </sheetData>
  <customSheetViews>
    <customSheetView guid="{65685584-75D0-4A51-AE28-5C7D20707FBD}" showPageBreaks="1" printArea="1" hiddenRows="1" hiddenColumns="1" topLeftCell="C1">
      <pane ySplit="6" topLeftCell="A153" activePane="bottomLeft" state="frozen"/>
      <selection pane="bottomLeft" activeCell="G158" sqref="G158"/>
      <pageMargins left="0.19685039370078741" right="0.23622047244094491" top="0.78740157480314965" bottom="0.23622047244094491" header="0.31496062992125984" footer="0.31496062992125984"/>
      <pageSetup paperSize="9" scale="60" fitToHeight="0" orientation="landscape" r:id="rId1"/>
      <headerFooter differentFirst="1">
        <oddFooter>&amp;R&amp;P</oddFooter>
      </headerFooter>
    </customSheetView>
    <customSheetView guid="{7BFFC2A3-0F28-4D31-9AD3-1E3078AA223D}" showAutoFilter="1" hiddenColumns="1" topLeftCell="C1">
      <pane ySplit="6" topLeftCell="A55" activePane="bottomLeft" state="frozen"/>
      <selection pane="bottomLeft" activeCell="K60" sqref="K60"/>
      <pageMargins left="0.19685039370078741" right="0.23622047244094491" top="0.78740157480314965" bottom="0.23622047244094491" header="0.31496062992125984" footer="0.31496062992125984"/>
      <pageSetup paperSize="9" scale="60" fitToHeight="0" orientation="landscape" r:id="rId2"/>
      <headerFooter differentFirst="1">
        <oddFooter>&amp;R&amp;P</oddFooter>
      </headerFooter>
      <autoFilter ref="C7:M175"/>
    </customSheetView>
    <customSheetView guid="{5BFBE340-7A77-4A81-BD8D-F4A5E4682C7D}" scale="90" showPageBreaks="1" printArea="1" hiddenRows="1" hiddenColumns="1" topLeftCell="C1">
      <selection activeCell="J67" sqref="J67"/>
      <pageMargins left="0.19685039370078741" right="0.23622047244094491" top="0.78740157480314965" bottom="0.23622047244094491" header="0.31496062992125984" footer="0.31496062992125984"/>
      <pageSetup paperSize="9" scale="67" fitToHeight="0" orientation="landscape" r:id="rId3"/>
      <headerFooter differentFirst="1">
        <oddFooter>&amp;R&amp;P</oddFooter>
      </headerFooter>
    </customSheetView>
    <customSheetView guid="{AB892BF4-7159-4365-ABCF-F353B99C910F}" showPageBreaks="1" printArea="1" hiddenRows="1" hiddenColumns="1" topLeftCell="C7">
      <selection activeCell="H10" sqref="H10"/>
      <pageMargins left="0.19685039370078741" right="0.23622047244094491" top="0.78740157480314965" bottom="0.23622047244094491" header="0.31496062992125984" footer="0.31496062992125984"/>
      <pageSetup paperSize="9" scale="67" fitToHeight="0" orientation="landscape" r:id="rId4"/>
      <headerFooter differentFirst="1">
        <oddFooter>&amp;R&amp;P</oddFooter>
      </headerFooter>
    </customSheetView>
    <customSheetView guid="{59B1F92E-3080-4B3C-AB43-7CBA0A8FFB6D}" scale="90" showPageBreaks="1" printArea="1" hiddenColumns="1" topLeftCell="C1">
      <selection activeCell="H7" sqref="H7"/>
      <pageMargins left="0.19685039370078741" right="0.23622047244094491" top="0.78740157480314965" bottom="0.23622047244094491" header="0.31496062992125984" footer="0.31496062992125984"/>
      <pageSetup paperSize="9" scale="67" fitToHeight="0" orientation="landscape" r:id="rId5"/>
      <headerFooter differentFirst="1">
        <oddFooter>&amp;R&amp;P</oddFooter>
      </headerFooter>
    </customSheetView>
    <customSheetView guid="{10B69522-62AE-4313-859A-9E4F497E803C}" scale="90" showPageBreaks="1" fitToPage="1" hiddenRows="1" hiddenColumns="1" topLeftCell="C271">
      <selection activeCell="D273" sqref="D273"/>
      <pageMargins left="0.39" right="0.23622047244094491" top="0.53" bottom="0.23622047244094491" header="0.31496062992125984" footer="0.31496062992125984"/>
      <pageSetup paperSize="9" scale="68" fitToHeight="0" orientation="landscape" r:id="rId6"/>
    </customSheetView>
  </customSheetViews>
  <mergeCells count="7">
    <mergeCell ref="K1:M1"/>
    <mergeCell ref="C2:M2"/>
    <mergeCell ref="A5:A6"/>
    <mergeCell ref="B5:B6"/>
    <mergeCell ref="C5:D5"/>
    <mergeCell ref="E5:E6"/>
    <mergeCell ref="K5:M5"/>
  </mergeCells>
  <pageMargins left="0.19685039370078741" right="0.23622047244094491" top="0.78740157480314965" bottom="0.23622047244094491" header="0.31496062992125984" footer="0.31496062992125984"/>
  <pageSetup paperSize="9" scale="60" fitToHeight="0" orientation="landscape" r:id="rId7"/>
  <headerFooter differentFirst="1">
    <oddFooter>&amp;R&amp;P</oddFooter>
  </headerFooter>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x14ac:dyDescent="0.25"/>
  <sheetData/>
  <customSheetViews>
    <customSheetView guid="{65685584-75D0-4A51-AE28-5C7D20707FBD}">
      <selection sqref="A1:XFD1048576"/>
      <pageMargins left="0.7" right="0.7" top="0.75" bottom="0.75" header="0.3" footer="0.3"/>
    </customSheetView>
    <customSheetView guid="{7BFFC2A3-0F28-4D31-9AD3-1E3078AA223D}">
      <selection sqref="A1:XFD1048576"/>
      <pageMargins left="0.7" right="0.7" top="0.75" bottom="0.75" header="0.3" footer="0.3"/>
    </customSheetView>
    <customSheetView guid="{5BFBE340-7A77-4A81-BD8D-F4A5E4682C7D}">
      <pageMargins left="0.7" right="0.7" top="0.75" bottom="0.75" header="0.3" footer="0.3"/>
    </customSheetView>
    <customSheetView guid="{AB892BF4-7159-4365-ABCF-F353B99C910F}">
      <pageMargins left="0.7" right="0.7" top="0.75" bottom="0.75" header="0.3" footer="0.3"/>
    </customSheetView>
    <customSheetView guid="{59B1F92E-3080-4B3C-AB43-7CBA0A8FFB6D}">
      <pageMargins left="0.7" right="0.7" top="0.75" bottom="0.75" header="0.3" footer="0.3"/>
    </customSheetView>
    <customSheetView guid="{10B69522-62AE-4313-859A-9E4F497E803C}">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customSheetViews>
    <customSheetView guid="{65685584-75D0-4A51-AE28-5C7D20707FBD}">
      <pageMargins left="0.7" right="0.7" top="0.75" bottom="0.75" header="0.3" footer="0.3"/>
    </customSheetView>
    <customSheetView guid="{7BFFC2A3-0F28-4D31-9AD3-1E3078AA223D}">
      <pageMargins left="0.7" right="0.7" top="0.75" bottom="0.75" header="0.3" footer="0.3"/>
    </customSheetView>
    <customSheetView guid="{5BFBE340-7A77-4A81-BD8D-F4A5E4682C7D}">
      <pageMargins left="0.7" right="0.7" top="0.75" bottom="0.75" header="0.3" footer="0.3"/>
    </customSheetView>
    <customSheetView guid="{AB892BF4-7159-4365-ABCF-F353B99C910F}">
      <pageMargins left="0.7" right="0.7" top="0.75" bottom="0.75" header="0.3" footer="0.3"/>
    </customSheetView>
    <customSheetView guid="{59B1F92E-3080-4B3C-AB43-7CBA0A8FFB6D}">
      <pageMargins left="0.7" right="0.7" top="0.75" bottom="0.75" header="0.3" footer="0.3"/>
    </customSheetView>
    <customSheetView guid="{10B69522-62AE-4313-859A-9E4F497E803C}">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на 01.07.</vt:lpstr>
      <vt:lpstr>Лист1</vt:lpstr>
      <vt:lpstr>Лист2</vt:lpstr>
      <vt:lpstr>Лист3</vt:lpstr>
      <vt:lpstr>Лист1!Заголовки_для_печати</vt:lpstr>
      <vt:lpstr>'на 01.07.'!Заголовки_для_печати</vt:lpstr>
      <vt:lpstr>Лист1!Область_печати</vt:lpstr>
      <vt:lpstr>'на 01.07.'!Область_печати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Бельчицкая Разиля Накифовна</dc:creator>
  <cp:lastModifiedBy>dohod</cp:lastModifiedBy>
  <cp:lastPrinted>2024-10-25T10:08:23Z</cp:lastPrinted>
  <dcterms:created xsi:type="dcterms:W3CDTF">2017-08-25T12:37:32Z</dcterms:created>
  <dcterms:modified xsi:type="dcterms:W3CDTF">2025-11-08T11:40:08Z</dcterms:modified>
</cp:coreProperties>
</file>